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<sst xmlns="http://schemas.openxmlformats.org/spreadsheetml/2006/main" count="172" uniqueCount="123">
  <si>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</si>
  <si>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</si>
  <si>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</si>
  <si>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</si>
  <si>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</si>
  <si>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</si>
  <si>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</si>
  <si>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</si>
  <si>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</si>
  <si>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</si>
  <si>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</si>
  <si>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</si>
  <si>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</si>
  <si>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</si>
  <si>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</si>
  <si>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</si>
  <si>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</si>
  <si>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</si>
  <si>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</si>
  <si>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</si>
  <si>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</si>
  <si>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</si>
  <si>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</si>
  <si>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</si>
  <si>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</si>
  <si>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</si>
  <si>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</si>
  <si>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</si>
  <si>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</si>
  <si>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</si>
  <si>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</si>
  <si>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</si>
  <si>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</si>
  <si>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</si>
  <si>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</si>
  <si>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</si>
  <si>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</si>
  <si>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</si>
  <si>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</si>
  <si>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</si>
  <si>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</si>
  <si>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</si>
  <si>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</si>
  <si>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</si>
  <si>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</si>
  <si>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</si>
  <si>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</si>
  <si>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</si>
  <si>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</si>
  <si>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</si>
  <si>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</si>
  <si>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</si>
  <si>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</si>
  <si>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</si>
  <si>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</si>
  <si>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</si>
  <si>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</si>
  <si>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</si>
  <si>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</si>
  <si>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</si>
  <si>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</si>
  <si>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</si>
  <si>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</si>
  <si>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</si>
  <si>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</si>
  <si>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</si>
  <si>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</si>
  <si>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</si>
  <si>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</si>
  <si>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</si>
  <si>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</si>
  <si>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</si>
  <si>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</si>
  <si>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</si>
  <si>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</si>
  <si>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</si>
  <si>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</si>
  <si>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</si>
  <si>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</si>
  <si>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</si>
  <si>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</si>
  <si>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</si>
  <si>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</si>
  <si>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</si>
  <si>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</si>
  <si>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</si>
  <si>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</si>
  <si>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</si>
  <si>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</si>
  <si>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</si>
  <si>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</si>
  <si>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</si>
  <si>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</si>
  <si>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</si>
  <si>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</si>
  <si>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</si>
  <si>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</si>
  <si>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</si>
  <si>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</si>
  <si>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</si>
  <si>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</si>
  <si>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</si>
  <si>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</si>
  <si>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</si>
  <si>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</si>
  <si>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</si>
  <si>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</si>
  <si>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</si>
  <si>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</si>
  <si>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</si>
  <si>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</si>
  <si>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</si>
  <si>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</si>
  <si>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</si>
  <si>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</si>
  <si>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</si>
  <si>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</si>
  <si>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</si>
  <si>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</si>
  <si>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</si>
  <si>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</si>
  <si>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</si>
  <si>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міського бюджету за 2016 рік станом на 19.07.2016 року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</si>
</sst>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"/>
    <numFmt numFmtId="182" formatCode="#,##0.0"/>
    <numFmt numFmtId="183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81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1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81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1" fontId="5" fillId="0" borderId="1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1" fontId="5" fillId="0" borderId="15" xfId="0" applyNumberFormat="1" applyFont="1" applyFill="1" applyBorder="1" applyAlignment="1">
      <alignment/>
    </xf>
    <xf numFmtId="181" fontId="5" fillId="24" borderId="11" xfId="0" applyNumberFormat="1" applyFont="1" applyFill="1" applyBorder="1" applyAlignment="1">
      <alignment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1" fontId="3" fillId="0" borderId="10" xfId="0" applyNumberFormat="1" applyFont="1" applyFill="1" applyBorder="1" applyAlignment="1">
      <alignment horizontal="center"/>
    </xf>
    <xf numFmtId="181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81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wrapText="1"/>
    </xf>
    <xf numFmtId="182" fontId="3" fillId="0" borderId="12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4" fillId="24" borderId="13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/>
    </xf>
    <xf numFmtId="182" fontId="4" fillId="24" borderId="11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>
      <alignment horizontal="right"/>
    </xf>
    <xf numFmtId="182" fontId="4" fillId="24" borderId="11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 wrapText="1"/>
    </xf>
    <xf numFmtId="182" fontId="5" fillId="0" borderId="13" xfId="0" applyNumberFormat="1" applyFont="1" applyFill="1" applyBorder="1" applyAlignment="1">
      <alignment wrapText="1"/>
    </xf>
    <xf numFmtId="182" fontId="4" fillId="0" borderId="13" xfId="0" applyNumberFormat="1" applyFont="1" applyFill="1" applyBorder="1" applyAlignment="1">
      <alignment/>
    </xf>
    <xf numFmtId="182" fontId="4" fillId="0" borderId="11" xfId="0" applyNumberFormat="1" applyFont="1" applyFill="1" applyBorder="1" applyAlignment="1">
      <alignment/>
    </xf>
    <xf numFmtId="182" fontId="3" fillId="0" borderId="12" xfId="0" applyNumberFormat="1" applyFont="1" applyFill="1" applyBorder="1" applyAlignment="1">
      <alignment horizontal="right"/>
    </xf>
    <xf numFmtId="182" fontId="5" fillId="0" borderId="12" xfId="0" applyNumberFormat="1" applyFont="1" applyFill="1" applyBorder="1" applyAlignment="1">
      <alignment horizontal="left" wrapText="1"/>
    </xf>
    <xf numFmtId="182" fontId="4" fillId="0" borderId="12" xfId="0" applyNumberFormat="1" applyFont="1" applyFill="1" applyBorder="1" applyAlignment="1">
      <alignment/>
    </xf>
    <xf numFmtId="182" fontId="4" fillId="0" borderId="10" xfId="0" applyNumberFormat="1" applyFont="1" applyFill="1" applyBorder="1" applyAlignment="1">
      <alignment/>
    </xf>
    <xf numFmtId="182" fontId="5" fillId="0" borderId="13" xfId="0" applyNumberFormat="1" applyFont="1" applyFill="1" applyBorder="1" applyAlignment="1">
      <alignment/>
    </xf>
    <xf numFmtId="182" fontId="5" fillId="0" borderId="11" xfId="0" applyNumberFormat="1" applyFont="1" applyFill="1" applyBorder="1" applyAlignment="1">
      <alignment/>
    </xf>
    <xf numFmtId="182" fontId="7" fillId="0" borderId="12" xfId="0" applyNumberFormat="1" applyFont="1" applyFill="1" applyBorder="1" applyAlignment="1">
      <alignment wrapText="1"/>
    </xf>
    <xf numFmtId="182" fontId="5" fillId="0" borderId="16" xfId="0" applyNumberFormat="1" applyFont="1" applyFill="1" applyBorder="1" applyAlignment="1">
      <alignment wrapText="1"/>
    </xf>
    <xf numFmtId="182" fontId="4" fillId="0" borderId="16" xfId="0" applyNumberFormat="1" applyFont="1" applyFill="1" applyBorder="1" applyAlignment="1">
      <alignment/>
    </xf>
    <xf numFmtId="182" fontId="4" fillId="0" borderId="14" xfId="0" applyNumberFormat="1" applyFont="1" applyFill="1" applyBorder="1" applyAlignment="1">
      <alignment/>
    </xf>
    <xf numFmtId="182" fontId="5" fillId="24" borderId="16" xfId="0" applyNumberFormat="1" applyFont="1" applyFill="1" applyBorder="1" applyAlignment="1">
      <alignment wrapText="1"/>
    </xf>
    <xf numFmtId="182" fontId="4" fillId="24" borderId="16" xfId="0" applyNumberFormat="1" applyFont="1" applyFill="1" applyBorder="1" applyAlignment="1">
      <alignment/>
    </xf>
    <xf numFmtId="182" fontId="4" fillId="24" borderId="14" xfId="0" applyNumberFormat="1" applyFont="1" applyFill="1" applyBorder="1" applyAlignment="1">
      <alignment/>
    </xf>
    <xf numFmtId="182" fontId="5" fillId="0" borderId="14" xfId="0" applyNumberFormat="1" applyFont="1" applyFill="1" applyBorder="1" applyAlignment="1">
      <alignment wrapText="1"/>
    </xf>
    <xf numFmtId="182" fontId="4" fillId="0" borderId="17" xfId="0" applyNumberFormat="1" applyFont="1" applyFill="1" applyBorder="1" applyAlignment="1">
      <alignment/>
    </xf>
    <xf numFmtId="182" fontId="5" fillId="0" borderId="10" xfId="0" applyNumberFormat="1" applyFont="1" applyFill="1" applyBorder="1" applyAlignment="1">
      <alignment wrapText="1"/>
    </xf>
    <xf numFmtId="182" fontId="3" fillId="0" borderId="10" xfId="0" applyNumberFormat="1" applyFont="1" applyFill="1" applyBorder="1" applyAlignment="1">
      <alignment wrapText="1"/>
    </xf>
    <xf numFmtId="182" fontId="3" fillId="0" borderId="17" xfId="0" applyNumberFormat="1" applyFont="1" applyFill="1" applyBorder="1" applyAlignment="1">
      <alignment/>
    </xf>
    <xf numFmtId="182" fontId="5" fillId="0" borderId="17" xfId="0" applyNumberFormat="1" applyFont="1" applyFill="1" applyBorder="1" applyAlignment="1">
      <alignment/>
    </xf>
    <xf numFmtId="182" fontId="5" fillId="0" borderId="15" xfId="0" applyNumberFormat="1" applyFont="1" applyFill="1" applyBorder="1" applyAlignment="1">
      <alignment/>
    </xf>
    <xf numFmtId="182" fontId="0" fillId="0" borderId="13" xfId="0" applyNumberFormat="1" applyFont="1" applyFill="1" applyBorder="1" applyAlignment="1">
      <alignment wrapText="1"/>
    </xf>
    <xf numFmtId="182" fontId="0" fillId="0" borderId="11" xfId="0" applyNumberFormat="1" applyFont="1" applyFill="1" applyBorder="1" applyAlignment="1">
      <alignment/>
    </xf>
    <xf numFmtId="182" fontId="4" fillId="0" borderId="16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/>
    </xf>
    <xf numFmtId="182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82" fontId="4" fillId="24" borderId="15" xfId="0" applyNumberFormat="1" applyFont="1" applyFill="1" applyBorder="1" applyAlignment="1">
      <alignment/>
    </xf>
    <xf numFmtId="181" fontId="4" fillId="24" borderId="15" xfId="0" applyNumberFormat="1" applyFont="1" applyFill="1" applyBorder="1" applyAlignment="1">
      <alignment/>
    </xf>
    <xf numFmtId="181" fontId="3" fillId="0" borderId="14" xfId="0" applyNumberFormat="1" applyFont="1" applyFill="1" applyBorder="1" applyAlignment="1">
      <alignment/>
    </xf>
    <xf numFmtId="181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82" fontId="3" fillId="0" borderId="14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 wrapText="1"/>
    </xf>
    <xf numFmtId="182" fontId="3" fillId="0" borderId="14" xfId="0" applyNumberFormat="1" applyFont="1" applyFill="1" applyBorder="1" applyAlignment="1">
      <alignment wrapText="1"/>
    </xf>
    <xf numFmtId="180" fontId="0" fillId="0" borderId="0" xfId="0" applyNumberFormat="1" applyFont="1" applyFill="1" applyBorder="1" applyAlignment="1">
      <alignment/>
    </xf>
    <xf numFmtId="183" fontId="12" fillId="0" borderId="0" xfId="0" applyNumberFormat="1" applyFont="1" applyFill="1" applyBorder="1" applyAlignment="1">
      <alignment/>
    </xf>
    <xf numFmtId="182" fontId="5" fillId="24" borderId="13" xfId="0" applyNumberFormat="1" applyFont="1" applyFill="1" applyBorder="1" applyAlignment="1">
      <alignment/>
    </xf>
    <xf numFmtId="181" fontId="3" fillId="0" borderId="10" xfId="0" applyNumberFormat="1" applyFont="1" applyFill="1" applyBorder="1" applyAlignment="1">
      <alignment horizontal="right"/>
    </xf>
    <xf numFmtId="182" fontId="13" fillId="0" borderId="12" xfId="0" applyNumberFormat="1" applyFont="1" applyFill="1" applyBorder="1" applyAlignment="1">
      <alignment/>
    </xf>
    <xf numFmtId="181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82" fontId="13" fillId="0" borderId="12" xfId="0" applyNumberFormat="1" applyFont="1" applyFill="1" applyBorder="1" applyAlignment="1">
      <alignment wrapText="1"/>
    </xf>
    <xf numFmtId="182" fontId="4" fillId="24" borderId="13" xfId="0" applyNumberFormat="1" applyFont="1" applyFill="1" applyBorder="1" applyAlignment="1">
      <alignment vertical="center" wrapText="1"/>
    </xf>
    <xf numFmtId="181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82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1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82" fontId="13" fillId="0" borderId="10" xfId="0" applyNumberFormat="1" applyFont="1" applyFill="1" applyBorder="1" applyAlignment="1">
      <alignment/>
    </xf>
    <xf numFmtId="181" fontId="4" fillId="24" borderId="14" xfId="0" applyNumberFormat="1" applyFont="1" applyFill="1" applyBorder="1" applyAlignment="1">
      <alignment/>
    </xf>
    <xf numFmtId="181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1" fontId="4" fillId="24" borderId="16" xfId="0" applyNumberFormat="1" applyFont="1" applyFill="1" applyBorder="1" applyAlignment="1">
      <alignment/>
    </xf>
    <xf numFmtId="182" fontId="5" fillId="24" borderId="20" xfId="0" applyNumberFormat="1" applyFont="1" applyFill="1" applyBorder="1" applyAlignment="1">
      <alignment wrapText="1"/>
    </xf>
    <xf numFmtId="182" fontId="4" fillId="24" borderId="22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 horizontal="right"/>
    </xf>
    <xf numFmtId="182" fontId="3" fillId="0" borderId="21" xfId="0" applyNumberFormat="1" applyFont="1" applyFill="1" applyBorder="1" applyAlignment="1">
      <alignment wrapText="1"/>
    </xf>
    <xf numFmtId="182" fontId="3" fillId="0" borderId="23" xfId="0" applyNumberFormat="1" applyFont="1" applyFill="1" applyBorder="1" applyAlignment="1">
      <alignment horizontal="right"/>
    </xf>
    <xf numFmtId="182" fontId="3" fillId="0" borderId="24" xfId="0" applyNumberFormat="1" applyFont="1" applyFill="1" applyBorder="1" applyAlignment="1">
      <alignment/>
    </xf>
    <xf numFmtId="181" fontId="3" fillId="0" borderId="21" xfId="0" applyNumberFormat="1" applyFont="1" applyFill="1" applyBorder="1" applyAlignment="1">
      <alignment/>
    </xf>
    <xf numFmtId="181" fontId="3" fillId="0" borderId="25" xfId="0" applyNumberFormat="1" applyFont="1" applyFill="1" applyBorder="1" applyAlignment="1">
      <alignment/>
    </xf>
    <xf numFmtId="181" fontId="3" fillId="0" borderId="23" xfId="0" applyNumberFormat="1" applyFont="1" applyFill="1" applyBorder="1" applyAlignment="1">
      <alignment/>
    </xf>
    <xf numFmtId="181" fontId="3" fillId="25" borderId="10" xfId="0" applyNumberFormat="1" applyFont="1" applyFill="1" applyBorder="1" applyAlignment="1">
      <alignment/>
    </xf>
    <xf numFmtId="182" fontId="0" fillId="0" borderId="10" xfId="0" applyNumberFormat="1" applyFont="1" applyFill="1" applyBorder="1" applyAlignment="1">
      <alignment/>
    </xf>
    <xf numFmtId="182" fontId="4" fillId="24" borderId="19" xfId="0" applyNumberFormat="1" applyFont="1" applyFill="1" applyBorder="1" applyAlignment="1">
      <alignment/>
    </xf>
    <xf numFmtId="182" fontId="3" fillId="0" borderId="26" xfId="0" applyNumberFormat="1" applyFont="1" applyFill="1" applyBorder="1" applyAlignment="1">
      <alignment/>
    </xf>
    <xf numFmtId="182" fontId="3" fillId="0" borderId="15" xfId="0" applyNumberFormat="1" applyFont="1" applyFill="1" applyBorder="1" applyAlignment="1">
      <alignment/>
    </xf>
    <xf numFmtId="181" fontId="58" fillId="0" borderId="10" xfId="0" applyNumberFormat="1" applyFont="1" applyFill="1" applyBorder="1" applyAlignment="1">
      <alignment/>
    </xf>
    <xf numFmtId="182" fontId="3" fillId="0" borderId="27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58916.3</c:v>
                </c:pt>
                <c:pt idx="1">
                  <c:v>49463.1</c:v>
                </c:pt>
                <c:pt idx="2">
                  <c:v>2121.4</c:v>
                </c:pt>
                <c:pt idx="3">
                  <c:v>7331.800000000005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23355.500000000004</c:v>
                </c:pt>
                <c:pt idx="1">
                  <c:v>19807.899999999998</c:v>
                </c:pt>
                <c:pt idx="2">
                  <c:v>795.6999999999998</c:v>
                </c:pt>
                <c:pt idx="3">
                  <c:v>2751.900000000006</c:v>
                </c:pt>
              </c:numCache>
            </c:numRef>
          </c:val>
          <c:shape val="box"/>
        </c:ser>
        <c:shape val="box"/>
        <c:axId val="57090495"/>
        <c:axId val="44052408"/>
      </c:bar3DChart>
      <c:catAx>
        <c:axId val="57090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052408"/>
        <c:crosses val="autoZero"/>
        <c:auto val="1"/>
        <c:lblOffset val="100"/>
        <c:tickLblSkip val="1"/>
        <c:noMultiLvlLbl val="0"/>
      </c:catAx>
      <c:valAx>
        <c:axId val="44052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90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429193.5</c:v>
                </c:pt>
                <c:pt idx="1">
                  <c:v>187918.3</c:v>
                </c:pt>
                <c:pt idx="2">
                  <c:v>298081.6</c:v>
                </c:pt>
                <c:pt idx="3">
                  <c:v>85.7</c:v>
                </c:pt>
                <c:pt idx="4">
                  <c:v>28024.9</c:v>
                </c:pt>
                <c:pt idx="5">
                  <c:v>71654.8</c:v>
                </c:pt>
                <c:pt idx="6">
                  <c:v>14740</c:v>
                </c:pt>
                <c:pt idx="7">
                  <c:v>16606.500000000015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178441.80000000002</c:v>
                </c:pt>
                <c:pt idx="1">
                  <c:v>76450.4</c:v>
                </c:pt>
                <c:pt idx="2">
                  <c:v>126274.19999999998</c:v>
                </c:pt>
                <c:pt idx="3">
                  <c:v>30.199999999999996</c:v>
                </c:pt>
                <c:pt idx="4">
                  <c:v>12674.000000000004</c:v>
                </c:pt>
                <c:pt idx="5">
                  <c:v>29479.499999999996</c:v>
                </c:pt>
                <c:pt idx="6">
                  <c:v>5565.700000000001</c:v>
                </c:pt>
                <c:pt idx="7">
                  <c:v>4418.200000000041</c:v>
                </c:pt>
              </c:numCache>
            </c:numRef>
          </c:val>
          <c:shape val="box"/>
        </c:ser>
        <c:shape val="box"/>
        <c:axId val="60927353"/>
        <c:axId val="11475266"/>
      </c:bar3DChart>
      <c:catAx>
        <c:axId val="60927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475266"/>
        <c:crosses val="autoZero"/>
        <c:auto val="1"/>
        <c:lblOffset val="100"/>
        <c:tickLblSkip val="1"/>
        <c:noMultiLvlLbl val="0"/>
      </c:catAx>
      <c:valAx>
        <c:axId val="11475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73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254068</c:v>
                </c:pt>
                <c:pt idx="1">
                  <c:v>190940</c:v>
                </c:pt>
                <c:pt idx="2">
                  <c:v>186641.3</c:v>
                </c:pt>
                <c:pt idx="3">
                  <c:v>20954.1</c:v>
                </c:pt>
                <c:pt idx="4">
                  <c:v>3917.9</c:v>
                </c:pt>
                <c:pt idx="5">
                  <c:v>27804.4</c:v>
                </c:pt>
                <c:pt idx="6">
                  <c:v>1591.6</c:v>
                </c:pt>
                <c:pt idx="7">
                  <c:v>13158.70000000001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99253.5</c:v>
                </c:pt>
                <c:pt idx="1">
                  <c:v>72367</c:v>
                </c:pt>
                <c:pt idx="2">
                  <c:v>75491.2</c:v>
                </c:pt>
                <c:pt idx="3">
                  <c:v>7819.900000000001</c:v>
                </c:pt>
                <c:pt idx="4">
                  <c:v>1629.7</c:v>
                </c:pt>
                <c:pt idx="5">
                  <c:v>11694.300000000001</c:v>
                </c:pt>
                <c:pt idx="6">
                  <c:v>636.5999999999999</c:v>
                </c:pt>
                <c:pt idx="7">
                  <c:v>1981.7999999999997</c:v>
                </c:pt>
              </c:numCache>
            </c:numRef>
          </c:val>
          <c:shape val="box"/>
        </c:ser>
        <c:shape val="box"/>
        <c:axId val="36168531"/>
        <c:axId val="57081324"/>
      </c:bar3DChart>
      <c:catAx>
        <c:axId val="36168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81324"/>
        <c:crosses val="autoZero"/>
        <c:auto val="1"/>
        <c:lblOffset val="100"/>
        <c:tickLblSkip val="1"/>
        <c:noMultiLvlLbl val="0"/>
      </c:catAx>
      <c:valAx>
        <c:axId val="570813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1685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50285.299999999996</c:v>
                </c:pt>
                <c:pt idx="1">
                  <c:v>35016.6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10894.199999999999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19396.5</c:v>
                </c:pt>
                <c:pt idx="1">
                  <c:v>13708.5</c:v>
                </c:pt>
                <c:pt idx="2">
                  <c:v>1202.2</c:v>
                </c:pt>
                <c:pt idx="3">
                  <c:v>286.30000000000007</c:v>
                </c:pt>
                <c:pt idx="4">
                  <c:v>25.5</c:v>
                </c:pt>
                <c:pt idx="5">
                  <c:v>4174</c:v>
                </c:pt>
              </c:numCache>
            </c:numRef>
          </c:val>
          <c:shape val="box"/>
        </c:ser>
        <c:shape val="box"/>
        <c:axId val="43969869"/>
        <c:axId val="60184502"/>
      </c:bar3DChart>
      <c:catAx>
        <c:axId val="43969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84502"/>
        <c:crosses val="autoZero"/>
        <c:auto val="1"/>
        <c:lblOffset val="100"/>
        <c:tickLblSkip val="1"/>
        <c:noMultiLvlLbl val="0"/>
      </c:catAx>
      <c:valAx>
        <c:axId val="601845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98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6"/>
                <c:pt idx="0">
                  <c:v>16312.5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4751.699999999999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6"/>
                <c:pt idx="0">
                  <c:v>5960.899999999999</c:v>
                </c:pt>
                <c:pt idx="1">
                  <c:v>3807.5999999999995</c:v>
                </c:pt>
                <c:pt idx="3">
                  <c:v>109.20000000000002</c:v>
                </c:pt>
                <c:pt idx="4">
                  <c:v>343.59999999999997</c:v>
                </c:pt>
                <c:pt idx="5">
                  <c:v>1700.4999999999993</c:v>
                </c:pt>
              </c:numCache>
            </c:numRef>
          </c:val>
          <c:shape val="box"/>
        </c:ser>
        <c:shape val="box"/>
        <c:axId val="4789607"/>
        <c:axId val="43106464"/>
      </c:bar3DChart>
      <c:catAx>
        <c:axId val="4789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106464"/>
        <c:crosses val="autoZero"/>
        <c:auto val="1"/>
        <c:lblOffset val="100"/>
        <c:tickLblSkip val="2"/>
        <c:noMultiLvlLbl val="0"/>
      </c:catAx>
      <c:valAx>
        <c:axId val="4310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96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6016.2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3216.2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868.6999999999999</c:v>
                </c:pt>
                <c:pt idx="1">
                  <c:v>651.6999999999999</c:v>
                </c:pt>
                <c:pt idx="3">
                  <c:v>191.7</c:v>
                </c:pt>
                <c:pt idx="5">
                  <c:v>25.30000000000001</c:v>
                </c:pt>
              </c:numCache>
            </c:numRef>
          </c:val>
          <c:shape val="box"/>
        </c:ser>
        <c:shape val="box"/>
        <c:axId val="52413857"/>
        <c:axId val="1962666"/>
      </c:bar3DChart>
      <c:catAx>
        <c:axId val="52413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62666"/>
        <c:crosses val="autoZero"/>
        <c:auto val="1"/>
        <c:lblOffset val="100"/>
        <c:tickLblSkip val="1"/>
        <c:noMultiLvlLbl val="0"/>
      </c:catAx>
      <c:valAx>
        <c:axId val="19626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138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36531.99999999999</c:v>
                </c:pt>
              </c:numCache>
            </c:numRef>
          </c:val>
          <c:shape val="box"/>
        </c:ser>
        <c:shape val="box"/>
        <c:axId val="17663995"/>
        <c:axId val="24758228"/>
      </c:bar3DChart>
      <c:catAx>
        <c:axId val="17663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758228"/>
        <c:crosses val="autoZero"/>
        <c:auto val="1"/>
        <c:lblOffset val="100"/>
        <c:tickLblSkip val="1"/>
        <c:noMultiLvlLbl val="0"/>
      </c:catAx>
      <c:valAx>
        <c:axId val="247582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639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429193.5</c:v>
                </c:pt>
                <c:pt idx="1">
                  <c:v>254068</c:v>
                </c:pt>
                <c:pt idx="2">
                  <c:v>50285.299999999996</c:v>
                </c:pt>
                <c:pt idx="3">
                  <c:v>16312.5</c:v>
                </c:pt>
                <c:pt idx="4">
                  <c:v>6016.2</c:v>
                </c:pt>
                <c:pt idx="5">
                  <c:v>58916.3</c:v>
                </c:pt>
                <c:pt idx="6">
                  <c:v>79525.09999999999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178441.80000000002</c:v>
                </c:pt>
                <c:pt idx="1">
                  <c:v>99253.5</c:v>
                </c:pt>
                <c:pt idx="2">
                  <c:v>19396.5</c:v>
                </c:pt>
                <c:pt idx="3">
                  <c:v>5960.899999999999</c:v>
                </c:pt>
                <c:pt idx="4">
                  <c:v>868.6999999999999</c:v>
                </c:pt>
                <c:pt idx="5">
                  <c:v>23355.500000000004</c:v>
                </c:pt>
                <c:pt idx="6">
                  <c:v>36531.99999999999</c:v>
                </c:pt>
              </c:numCache>
            </c:numRef>
          </c:val>
          <c:shape val="box"/>
        </c:ser>
        <c:shape val="box"/>
        <c:axId val="21497461"/>
        <c:axId val="59259422"/>
      </c:bar3D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259422"/>
        <c:crosses val="autoZero"/>
        <c:auto val="1"/>
        <c:lblOffset val="100"/>
        <c:tickLblSkip val="1"/>
        <c:noMultiLvlLbl val="0"/>
      </c:catAx>
      <c:valAx>
        <c:axId val="59259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74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589171.4999999998</c:v>
                </c:pt>
                <c:pt idx="1">
                  <c:v>114196.40000000001</c:v>
                </c:pt>
                <c:pt idx="2">
                  <c:v>32632.300000000003</c:v>
                </c:pt>
                <c:pt idx="3">
                  <c:v>29166.2</c:v>
                </c:pt>
                <c:pt idx="4">
                  <c:v>21133.1</c:v>
                </c:pt>
                <c:pt idx="5">
                  <c:v>609411.5000000005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242856.3</c:v>
                </c:pt>
                <c:pt idx="1">
                  <c:v>46364.69999999999</c:v>
                </c:pt>
                <c:pt idx="2">
                  <c:v>14435.400000000005</c:v>
                </c:pt>
                <c:pt idx="3">
                  <c:v>9371</c:v>
                </c:pt>
                <c:pt idx="4">
                  <c:v>7850.900000000001</c:v>
                </c:pt>
                <c:pt idx="5">
                  <c:v>212784.30000000002</c:v>
                </c:pt>
              </c:numCache>
            </c:numRef>
          </c:val>
          <c:shape val="box"/>
        </c:ser>
        <c:shape val="box"/>
        <c:axId val="63572751"/>
        <c:axId val="35283848"/>
      </c:bar3DChart>
      <c:catAx>
        <c:axId val="6357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83848"/>
        <c:crosses val="autoZero"/>
        <c:auto val="1"/>
        <c:lblOffset val="100"/>
        <c:tickLblSkip val="1"/>
        <c:noMultiLvlLbl val="0"/>
      </c:catAx>
      <c:valAx>
        <c:axId val="35283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727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6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7" sqref="B97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112</v>
      </c>
      <c r="D3" s="136" t="s">
        <v>28</v>
      </c>
      <c r="E3" s="136" t="s">
        <v>27</v>
      </c>
      <c r="F3" s="136" t="s">
        <v>120</v>
      </c>
      <c r="G3" s="136" t="s">
        <v>114</v>
      </c>
      <c r="H3" s="136" t="s">
        <v>121</v>
      </c>
      <c r="I3" s="136" t="s">
        <v>113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5" t="s">
        <v>33</v>
      </c>
      <c r="B6" s="49">
        <v>272057.3</v>
      </c>
      <c r="C6" s="50">
        <f>426773.1+25+188.4+2200.9+6.1-1051.6+141.1</f>
        <v>428283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</f>
        <v>241410.2</v>
      </c>
      <c r="E6" s="3">
        <f>D6/D150*100</f>
        <v>31.763655755465454</v>
      </c>
      <c r="F6" s="3">
        <f>D6/B6*100</f>
        <v>88.73505691631874</v>
      </c>
      <c r="G6" s="3">
        <f aca="true" t="shared" si="0" ref="G6:G43">D6/C6*100</f>
        <v>56.36698164531396</v>
      </c>
      <c r="H6" s="51">
        <f>B6-D6</f>
        <v>30647.099999999977</v>
      </c>
      <c r="I6" s="51">
        <f aca="true" t="shared" si="1" ref="I6:I43">C6-D6</f>
        <v>186872.8</v>
      </c>
    </row>
    <row r="7" spans="1:9" s="41" customFormat="1" ht="18.75">
      <c r="A7" s="112" t="s">
        <v>98</v>
      </c>
      <c r="B7" s="105">
        <v>121884.4</v>
      </c>
      <c r="C7" s="102">
        <f>185717.4+2200.9</f>
        <v>187918.3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</f>
        <v>107213.90000000001</v>
      </c>
      <c r="E7" s="103">
        <f>D7/D6*100</f>
        <v>44.41150373927862</v>
      </c>
      <c r="F7" s="103">
        <f>D7/B7*100</f>
        <v>87.96359501297952</v>
      </c>
      <c r="G7" s="103">
        <f>D7/C7*100</f>
        <v>57.053464191619454</v>
      </c>
      <c r="H7" s="113">
        <f>B7-D7</f>
        <v>14670.499999999985</v>
      </c>
      <c r="I7" s="113">
        <f t="shared" si="1"/>
        <v>80704.39999999998</v>
      </c>
    </row>
    <row r="8" spans="1:9" ht="18">
      <c r="A8" s="26" t="s">
        <v>3</v>
      </c>
      <c r="B8" s="46">
        <v>189226.3</v>
      </c>
      <c r="C8" s="47">
        <v>298081.6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</f>
        <v>181971.49999999994</v>
      </c>
      <c r="E8" s="1">
        <f>D8/D6*100</f>
        <v>75.3785465568563</v>
      </c>
      <c r="F8" s="1">
        <f>D8/B8*100</f>
        <v>96.1660720523521</v>
      </c>
      <c r="G8" s="1">
        <f t="shared" si="0"/>
        <v>61.04754537012682</v>
      </c>
      <c r="H8" s="48">
        <f>B8-D8</f>
        <v>7254.800000000047</v>
      </c>
      <c r="I8" s="48">
        <f t="shared" si="1"/>
        <v>116110.10000000003</v>
      </c>
    </row>
    <row r="9" spans="1:9" ht="18">
      <c r="A9" s="26" t="s">
        <v>2</v>
      </c>
      <c r="B9" s="46">
        <v>52.6</v>
      </c>
      <c r="C9" s="47">
        <v>85.7</v>
      </c>
      <c r="D9" s="48">
        <f>4+2.9+1.6+0.5+0.5+1.9+1.2+1.8+1.6+0.7+2+3.7+0.1+1.9+2.9+1.2+0.4+1.1+0.2+0.6+1.5+1.7+0.3</f>
        <v>34.3</v>
      </c>
      <c r="E9" s="12">
        <f>D9/D6*100</f>
        <v>0.014208181758682936</v>
      </c>
      <c r="F9" s="128">
        <f>D9/B9*100</f>
        <v>65.20912547528516</v>
      </c>
      <c r="G9" s="1">
        <f t="shared" si="0"/>
        <v>40.023337222870474</v>
      </c>
      <c r="H9" s="48">
        <f aca="true" t="shared" si="2" ref="H9:H43">B9-D9</f>
        <v>18.300000000000004</v>
      </c>
      <c r="I9" s="48">
        <f t="shared" si="1"/>
        <v>51.400000000000006</v>
      </c>
    </row>
    <row r="10" spans="1:9" ht="18">
      <c r="A10" s="26" t="s">
        <v>1</v>
      </c>
      <c r="B10" s="46">
        <v>18050.6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</f>
        <v>14295.600000000006</v>
      </c>
      <c r="E10" s="1">
        <f>D10/D6*100</f>
        <v>5.921705048088277</v>
      </c>
      <c r="F10" s="1">
        <f aca="true" t="shared" si="3" ref="F10:F41">D10/B10*100</f>
        <v>79.19736740052966</v>
      </c>
      <c r="G10" s="1">
        <f t="shared" si="0"/>
        <v>52.72327619272418</v>
      </c>
      <c r="H10" s="48">
        <f t="shared" si="2"/>
        <v>3754.9999999999927</v>
      </c>
      <c r="I10" s="48">
        <f t="shared" si="1"/>
        <v>12818.799999999996</v>
      </c>
    </row>
    <row r="11" spans="1:9" ht="18">
      <c r="A11" s="26" t="s">
        <v>0</v>
      </c>
      <c r="B11" s="46">
        <v>45460</v>
      </c>
      <c r="C11" s="47">
        <v>71654.8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</f>
        <v>30916.000000000004</v>
      </c>
      <c r="E11" s="1">
        <f>D11/D6*100</f>
        <v>12.806418287214047</v>
      </c>
      <c r="F11" s="1">
        <f t="shared" si="3"/>
        <v>68.00703915530137</v>
      </c>
      <c r="G11" s="1">
        <f t="shared" si="0"/>
        <v>43.14574878444989</v>
      </c>
      <c r="H11" s="48">
        <f t="shared" si="2"/>
        <v>14543.999999999996</v>
      </c>
      <c r="I11" s="48">
        <f t="shared" si="1"/>
        <v>40738.8</v>
      </c>
    </row>
    <row r="12" spans="1:9" ht="18">
      <c r="A12" s="26" t="s">
        <v>15</v>
      </c>
      <c r="B12" s="46">
        <v>8197.8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</f>
        <v>7144.800000000002</v>
      </c>
      <c r="E12" s="1">
        <f>D12/D6*100</f>
        <v>2.9596098259311336</v>
      </c>
      <c r="F12" s="1">
        <f t="shared" si="3"/>
        <v>87.15509039010469</v>
      </c>
      <c r="G12" s="1">
        <f t="shared" si="0"/>
        <v>48.472184531886036</v>
      </c>
      <c r="H12" s="48">
        <f t="shared" si="2"/>
        <v>1052.9999999999973</v>
      </c>
      <c r="I12" s="48">
        <f t="shared" si="1"/>
        <v>7595.199999999998</v>
      </c>
    </row>
    <row r="13" spans="1:9" ht="18.75" thickBot="1">
      <c r="A13" s="26" t="s">
        <v>34</v>
      </c>
      <c r="B13" s="47">
        <f>B6-B8-B9-B10-B11-B12</f>
        <v>11069.999999999996</v>
      </c>
      <c r="C13" s="47">
        <f>C6-C8-C9-C10-C11-C12</f>
        <v>16606.500000000015</v>
      </c>
      <c r="D13" s="47">
        <f>D6-D8-D9-D10-D11-D12</f>
        <v>7048.0000000000555</v>
      </c>
      <c r="E13" s="1">
        <f>D13/D6*100</f>
        <v>2.919512100151549</v>
      </c>
      <c r="F13" s="1">
        <f t="shared" si="3"/>
        <v>63.667570009033945</v>
      </c>
      <c r="G13" s="1">
        <f t="shared" si="0"/>
        <v>42.44121277812935</v>
      </c>
      <c r="H13" s="48">
        <f t="shared" si="2"/>
        <v>4021.999999999941</v>
      </c>
      <c r="I13" s="48">
        <f t="shared" si="1"/>
        <v>9558.49999999996</v>
      </c>
    </row>
    <row r="14" spans="1:9" s="41" customFormat="1" ht="18.75" customHeight="1" hidden="1">
      <c r="A14" s="104" t="s">
        <v>78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75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76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77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150808.3</v>
      </c>
      <c r="C18" s="50">
        <f>250434.1+666.5+2890.8+76.6+110</f>
        <v>254178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</f>
        <v>131071.3</v>
      </c>
      <c r="E18" s="3">
        <f>D18/D150*100</f>
        <v>17.245765309922024</v>
      </c>
      <c r="F18" s="3">
        <f>D18/B18*100</f>
        <v>86.91252404542722</v>
      </c>
      <c r="G18" s="3">
        <f t="shared" si="0"/>
        <v>51.56673669633092</v>
      </c>
      <c r="H18" s="51">
        <f>B18-D18</f>
        <v>19736.999999999985</v>
      </c>
      <c r="I18" s="51">
        <f t="shared" si="1"/>
        <v>123106.7</v>
      </c>
    </row>
    <row r="19" spans="1:9" s="41" customFormat="1" ht="18.75">
      <c r="A19" s="112" t="s">
        <v>99</v>
      </c>
      <c r="B19" s="105">
        <v>110247.1</v>
      </c>
      <c r="C19" s="102">
        <f>188049.2+2890.8</f>
        <v>190940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</f>
        <v>97198.8</v>
      </c>
      <c r="E19" s="103">
        <f>D19/D18*100</f>
        <v>74.15719535855676</v>
      </c>
      <c r="F19" s="103">
        <f t="shared" si="3"/>
        <v>88.16449593685456</v>
      </c>
      <c r="G19" s="103">
        <f t="shared" si="0"/>
        <v>50.90541531371111</v>
      </c>
      <c r="H19" s="113">
        <f t="shared" si="2"/>
        <v>13048.300000000003</v>
      </c>
      <c r="I19" s="113">
        <f t="shared" si="1"/>
        <v>93741.2</v>
      </c>
    </row>
    <row r="20" spans="1:9" ht="18">
      <c r="A20" s="26" t="s">
        <v>5</v>
      </c>
      <c r="B20" s="46">
        <v>110417.8</v>
      </c>
      <c r="C20" s="47">
        <v>186641.3</v>
      </c>
      <c r="D20" s="48">
        <f>5722.2+1+8655.9+32.9+2.4+5725.7+8251+357.7+0.1+5829.5+27.9+3957+4812.9+26.7+6036.7+16.8+6839+2416.2+22.3+6209+10229+319.3+6468+9728.3+1605.6+3790.5+3239.9</f>
        <v>100323.5</v>
      </c>
      <c r="E20" s="1">
        <f>D20/D18*100</f>
        <v>76.5411649995079</v>
      </c>
      <c r="F20" s="1">
        <f t="shared" si="3"/>
        <v>90.85808628681245</v>
      </c>
      <c r="G20" s="1">
        <f t="shared" si="0"/>
        <v>53.75203666069621</v>
      </c>
      <c r="H20" s="48">
        <f t="shared" si="2"/>
        <v>10094.300000000003</v>
      </c>
      <c r="I20" s="48">
        <f t="shared" si="1"/>
        <v>86317.79999999999</v>
      </c>
    </row>
    <row r="21" spans="1:9" ht="18">
      <c r="A21" s="26" t="s">
        <v>2</v>
      </c>
      <c r="B21" s="46">
        <f>13639.4+1135.3</f>
        <v>14774.699999999999</v>
      </c>
      <c r="C21" s="47">
        <f>20454.1+500+110</f>
        <v>21064.1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</f>
        <v>11623.100000000002</v>
      </c>
      <c r="E21" s="1">
        <f>D21/D18*100</f>
        <v>8.867768916612564</v>
      </c>
      <c r="F21" s="1">
        <f t="shared" si="3"/>
        <v>78.6689408245176</v>
      </c>
      <c r="G21" s="1">
        <f t="shared" si="0"/>
        <v>55.179665877013505</v>
      </c>
      <c r="H21" s="48">
        <f t="shared" si="2"/>
        <v>3151.5999999999967</v>
      </c>
      <c r="I21" s="48">
        <f t="shared" si="1"/>
        <v>9440.999999999996</v>
      </c>
    </row>
    <row r="22" spans="1:9" ht="18">
      <c r="A22" s="26" t="s">
        <v>1</v>
      </c>
      <c r="B22" s="46">
        <v>2311.8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</f>
        <v>2042.0000000000002</v>
      </c>
      <c r="E22" s="1">
        <f>D22/D18*100</f>
        <v>1.5579306835287359</v>
      </c>
      <c r="F22" s="1">
        <f t="shared" si="3"/>
        <v>88.32944026299853</v>
      </c>
      <c r="G22" s="1">
        <f t="shared" si="0"/>
        <v>52.11975803364047</v>
      </c>
      <c r="H22" s="48">
        <f t="shared" si="2"/>
        <v>269.79999999999995</v>
      </c>
      <c r="I22" s="48">
        <f t="shared" si="1"/>
        <v>1875.8999999999999</v>
      </c>
    </row>
    <row r="23" spans="1:9" ht="18">
      <c r="A23" s="26" t="s">
        <v>0</v>
      </c>
      <c r="B23" s="46">
        <v>15670.1</v>
      </c>
      <c r="C23" s="47">
        <v>27804.4</v>
      </c>
      <c r="D23" s="48">
        <f>230.7+158.8+520.8+110.9+465.7+246.3+3.9+169.6+1975.3+126.5+2+97.4+199.5+165.4+184.4+1288.4+1114.2+20.1+11.6+1104.8+1285.8+113+130.6+146.2+28.7+1001+189.4+3.7+11.2+527.3+61.2-0.1+17+472.5+16.3+18.8+256.5+97.1+20+6.8+539.1</f>
        <v>13138.4</v>
      </c>
      <c r="E23" s="1">
        <f>D23/D18*100</f>
        <v>10.023857244110648</v>
      </c>
      <c r="F23" s="1">
        <f t="shared" si="3"/>
        <v>83.84375339021449</v>
      </c>
      <c r="G23" s="1">
        <f t="shared" si="0"/>
        <v>47.252952770065164</v>
      </c>
      <c r="H23" s="48">
        <f t="shared" si="2"/>
        <v>2531.7000000000007</v>
      </c>
      <c r="I23" s="48">
        <f t="shared" si="1"/>
        <v>14666.000000000002</v>
      </c>
    </row>
    <row r="24" spans="1:9" ht="18">
      <c r="A24" s="26" t="s">
        <v>15</v>
      </c>
      <c r="B24" s="46">
        <v>939.4</v>
      </c>
      <c r="C24" s="47">
        <v>1591.6</v>
      </c>
      <c r="D24" s="48">
        <f>73.6+22.6+5.3+2.4+2.5+128.1+0.1+11.5+121.2+11.2-0.1+27.3+71.1+31.4-0.1+0.8+24.6+83.5+19.6+26.5+24.2+67.9+2.3+4+48.1</f>
        <v>809.5999999999999</v>
      </c>
      <c r="E24" s="1">
        <f>D24/D18*100</f>
        <v>0.6176790800121764</v>
      </c>
      <c r="F24" s="1">
        <f t="shared" si="3"/>
        <v>86.18266978922716</v>
      </c>
      <c r="G24" s="1">
        <f t="shared" si="0"/>
        <v>50.86705202312138</v>
      </c>
      <c r="H24" s="48">
        <f t="shared" si="2"/>
        <v>129.80000000000007</v>
      </c>
      <c r="I24" s="48">
        <f t="shared" si="1"/>
        <v>782</v>
      </c>
    </row>
    <row r="25" spans="1:9" ht="18.75" thickBot="1">
      <c r="A25" s="26" t="s">
        <v>34</v>
      </c>
      <c r="B25" s="47">
        <f>B18-B20-B21-B22-B23-B24</f>
        <v>6694.499999999989</v>
      </c>
      <c r="C25" s="47">
        <f>C18-C20-C21-C22-C23-C24</f>
        <v>13158.70000000001</v>
      </c>
      <c r="D25" s="47">
        <f>D18-D20-D21-D22-D23-D24</f>
        <v>3134.700000000001</v>
      </c>
      <c r="E25" s="1">
        <f>D25/D18*100</f>
        <v>2.3915990762279775</v>
      </c>
      <c r="F25" s="1">
        <f t="shared" si="3"/>
        <v>46.825005601613356</v>
      </c>
      <c r="G25" s="1">
        <f t="shared" si="0"/>
        <v>23.822262077560843</v>
      </c>
      <c r="H25" s="48">
        <f t="shared" si="2"/>
        <v>3559.799999999988</v>
      </c>
      <c r="I25" s="48">
        <f t="shared" si="1"/>
        <v>10024.00000000001</v>
      </c>
    </row>
    <row r="26" spans="1:9" ht="57" hidden="1" thickBot="1">
      <c r="A26" s="104" t="s">
        <v>86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87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88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89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90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91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92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31141.3</v>
      </c>
      <c r="C33" s="50">
        <f>50266.1+19.2</f>
        <v>50285.299999999996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</f>
        <v>28376.1</v>
      </c>
      <c r="E33" s="3">
        <f>D33/D150*100</f>
        <v>3.7335981333127726</v>
      </c>
      <c r="F33" s="3">
        <f>D33/B33*100</f>
        <v>91.1204734548654</v>
      </c>
      <c r="G33" s="3">
        <f t="shared" si="0"/>
        <v>56.43020922615556</v>
      </c>
      <c r="H33" s="51">
        <f t="shared" si="2"/>
        <v>2765.2000000000007</v>
      </c>
      <c r="I33" s="51">
        <f t="shared" si="1"/>
        <v>21909.199999999997</v>
      </c>
    </row>
    <row r="34" spans="1:9" ht="18">
      <c r="A34" s="26" t="s">
        <v>3</v>
      </c>
      <c r="B34" s="46">
        <v>21824.9</v>
      </c>
      <c r="C34" s="47">
        <v>35016.6</v>
      </c>
      <c r="D34" s="48">
        <f>1335+1268.2+1354.9+1304.2+1357+1359.6+1365.6+1342.2+1381.4+3.9+1624.5+11.9+0.1+10+3950.5+2820.4+0.1+74+93.6+20+430.6</f>
        <v>21107.699999999997</v>
      </c>
      <c r="E34" s="1">
        <f>D34/D33*100</f>
        <v>74.38548637762061</v>
      </c>
      <c r="F34" s="1">
        <f t="shared" si="3"/>
        <v>96.71384519516697</v>
      </c>
      <c r="G34" s="1">
        <f t="shared" si="0"/>
        <v>60.27912475797193</v>
      </c>
      <c r="H34" s="48">
        <f t="shared" si="2"/>
        <v>717.2000000000044</v>
      </c>
      <c r="I34" s="48">
        <f t="shared" si="1"/>
        <v>13908.900000000001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1863.4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</f>
        <v>1247.4999999999995</v>
      </c>
      <c r="E36" s="1">
        <f>D36/D33*100</f>
        <v>4.396305341466937</v>
      </c>
      <c r="F36" s="1">
        <f t="shared" si="3"/>
        <v>66.9475152946227</v>
      </c>
      <c r="G36" s="1">
        <f t="shared" si="0"/>
        <v>36.86030020092186</v>
      </c>
      <c r="H36" s="48">
        <f t="shared" si="2"/>
        <v>615.9000000000005</v>
      </c>
      <c r="I36" s="48">
        <f t="shared" si="1"/>
        <v>2136.9000000000005</v>
      </c>
    </row>
    <row r="37" spans="1:9" s="41" customFormat="1" ht="18.75">
      <c r="A37" s="20" t="s">
        <v>7</v>
      </c>
      <c r="B37" s="55">
        <v>613.1</v>
      </c>
      <c r="C37" s="56">
        <v>929.3</v>
      </c>
      <c r="D37" s="57">
        <f>11.2+19.5+15.2+5+5.7-0.1+1.9+5.1+7+0.3+7.7+25.8+82+15.4+14.3+13.2+14.4+42.6+0.1+37.6+3+2.6+0.8+1.6</f>
        <v>331.90000000000015</v>
      </c>
      <c r="E37" s="17">
        <f>D37/D33*100</f>
        <v>1.169646286839982</v>
      </c>
      <c r="F37" s="17">
        <f t="shared" si="3"/>
        <v>54.134725167183184</v>
      </c>
      <c r="G37" s="17">
        <f t="shared" si="0"/>
        <v>35.71505434197785</v>
      </c>
      <c r="H37" s="57">
        <f t="shared" si="2"/>
        <v>281.1999999999999</v>
      </c>
      <c r="I37" s="57">
        <f t="shared" si="1"/>
        <v>597.3999999999999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0.08986435768128813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6814.399999999998</v>
      </c>
      <c r="C39" s="46">
        <f>C33-C34-C36-C37-C35-C38</f>
        <v>10894.199999999999</v>
      </c>
      <c r="D39" s="46">
        <f>D33-D34-D36-D37-D35-D38</f>
        <v>5663.500000000001</v>
      </c>
      <c r="E39" s="1">
        <f>D39/D33*100</f>
        <v>19.958697636391193</v>
      </c>
      <c r="F39" s="1">
        <f t="shared" si="3"/>
        <v>83.11076543789626</v>
      </c>
      <c r="G39" s="1">
        <f t="shared" si="0"/>
        <v>51.98637807273596</v>
      </c>
      <c r="H39" s="48">
        <f>B39-D39</f>
        <v>1150.899999999997</v>
      </c>
      <c r="I39" s="48">
        <f t="shared" si="1"/>
        <v>5230.699999999998</v>
      </c>
    </row>
    <row r="40" spans="1:9" ht="19.5" hidden="1" thickBot="1">
      <c r="A40" s="104" t="s">
        <v>83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84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85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f>602.2+0.8</f>
        <v>603</v>
      </c>
      <c r="C43" s="50">
        <f>829.5+61+9+3+3</f>
        <v>905.5</v>
      </c>
      <c r="D43" s="51">
        <f>22.2+3+5+12.1+5.3+62.1+8.7+22.7+11.7+44.1-0.1+8.7+8.3+9+2+12.1+30.9+11+14.3+28.5+0.1+1.2+34+0.6+0.1+2.3+3+1.5+17.9+19.5+82.4-0.1+0.8+8.4</f>
        <v>493.3</v>
      </c>
      <c r="E43" s="3">
        <f>D43/D150*100</f>
        <v>0.06490616959917644</v>
      </c>
      <c r="F43" s="3">
        <f>D43/B43*100</f>
        <v>81.80762852404644</v>
      </c>
      <c r="G43" s="3">
        <f t="shared" si="0"/>
        <v>54.47818884594147</v>
      </c>
      <c r="H43" s="51">
        <f t="shared" si="2"/>
        <v>109.69999999999999</v>
      </c>
      <c r="I43" s="51">
        <f t="shared" si="1"/>
        <v>412.2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4472.4</v>
      </c>
      <c r="C45" s="50">
        <v>7741.6</v>
      </c>
      <c r="D45" s="51">
        <f>224.1+260.8+14.4+236.4+3.2+114.6+291.3+0.1+96+241.4+13.4+0.1+331+0.7-0.1+39.8+268.9+0.5+9.3+307.6+278.3+1.8+5.2+302.3+9.3+4.6+275.3+25.3+352.3+6.4+0.1+14.8+50.6+5.2+267.1</f>
        <v>4052.100000000001</v>
      </c>
      <c r="E45" s="3">
        <f>D45/D150*100</f>
        <v>0.5331568818828765</v>
      </c>
      <c r="F45" s="3">
        <f>D45/B45*100</f>
        <v>90.60236114837673</v>
      </c>
      <c r="G45" s="3">
        <f aca="true" t="shared" si="4" ref="G45:G76">D45/C45*100</f>
        <v>52.34189314870312</v>
      </c>
      <c r="H45" s="51">
        <f>B45-D45</f>
        <v>420.2999999999988</v>
      </c>
      <c r="I45" s="51">
        <f aca="true" t="shared" si="5" ref="I45:I77">C45-D45</f>
        <v>3689.4999999999995</v>
      </c>
    </row>
    <row r="46" spans="1:9" ht="18">
      <c r="A46" s="26" t="s">
        <v>3</v>
      </c>
      <c r="B46" s="46">
        <v>3906.1</v>
      </c>
      <c r="C46" s="47">
        <v>6753.6</v>
      </c>
      <c r="D46" s="48">
        <f>224.1+258.6+235.3+288.8+241.4+328.6+224.6+306.6+239.4+298.3+269.8+13.5+346.9+45.8+263.2</f>
        <v>3584.9000000000005</v>
      </c>
      <c r="E46" s="1">
        <f>D46/D45*100</f>
        <v>88.47017595814516</v>
      </c>
      <c r="F46" s="1">
        <f aca="true" t="shared" si="6" ref="F46:F74">D46/B46*100</f>
        <v>91.77696423542666</v>
      </c>
      <c r="G46" s="1">
        <f t="shared" si="4"/>
        <v>53.08131959251363</v>
      </c>
      <c r="H46" s="48">
        <f aca="true" t="shared" si="7" ref="H46:H74">B46-D46</f>
        <v>321.19999999999936</v>
      </c>
      <c r="I46" s="48">
        <f t="shared" si="5"/>
        <v>3168.7</v>
      </c>
    </row>
    <row r="47" spans="1:9" ht="18">
      <c r="A47" s="26" t="s">
        <v>2</v>
      </c>
      <c r="B47" s="46">
        <v>0.8</v>
      </c>
      <c r="C47" s="47">
        <v>1.3</v>
      </c>
      <c r="D47" s="48">
        <f>0.3+0.4+0.1</f>
        <v>0.7999999999999999</v>
      </c>
      <c r="E47" s="1">
        <f>D47/D45*100</f>
        <v>0.019742849386737735</v>
      </c>
      <c r="F47" s="1">
        <f t="shared" si="6"/>
        <v>99.99999999999999</v>
      </c>
      <c r="G47" s="1">
        <f t="shared" si="4"/>
        <v>61.53846153846153</v>
      </c>
      <c r="H47" s="48">
        <f t="shared" si="7"/>
        <v>0</v>
      </c>
      <c r="I47" s="48">
        <f t="shared" si="5"/>
        <v>0.5000000000000001</v>
      </c>
    </row>
    <row r="48" spans="1:9" ht="18">
      <c r="A48" s="26" t="s">
        <v>1</v>
      </c>
      <c r="B48" s="46">
        <v>37</v>
      </c>
      <c r="C48" s="47">
        <v>70.7</v>
      </c>
      <c r="D48" s="48">
        <f>0.2+2.1+0.1+6.5+6.7-0.1+7+4.6+1.6+2+4.6</f>
        <v>35.300000000000004</v>
      </c>
      <c r="E48" s="1">
        <f>D48/D45*100</f>
        <v>0.8711532291898028</v>
      </c>
      <c r="F48" s="1">
        <f t="shared" si="6"/>
        <v>95.40540540540542</v>
      </c>
      <c r="G48" s="1">
        <f t="shared" si="4"/>
        <v>49.92927864214993</v>
      </c>
      <c r="H48" s="48">
        <f t="shared" si="7"/>
        <v>1.6999999999999957</v>
      </c>
      <c r="I48" s="48">
        <f t="shared" si="5"/>
        <v>35.4</v>
      </c>
    </row>
    <row r="49" spans="1:9" ht="18">
      <c r="A49" s="26" t="s">
        <v>0</v>
      </c>
      <c r="B49" s="46">
        <v>328.1</v>
      </c>
      <c r="C49" s="47">
        <v>568.5</v>
      </c>
      <c r="D49" s="48">
        <f>2.2+2.5+0.8+112.4+2.2+0.1+69.1+4.4-0.1+35.2+27.4+4.8+1+22.3+2.5+1.6+0.6+4.2-0.1+0.5</f>
        <v>293.6</v>
      </c>
      <c r="E49" s="1">
        <f>D49/D45*100</f>
        <v>7.24562572493275</v>
      </c>
      <c r="F49" s="1">
        <f t="shared" si="6"/>
        <v>89.48491313623896</v>
      </c>
      <c r="G49" s="1">
        <f t="shared" si="4"/>
        <v>51.64467897977133</v>
      </c>
      <c r="H49" s="48">
        <f t="shared" si="7"/>
        <v>34.5</v>
      </c>
      <c r="I49" s="48">
        <f t="shared" si="5"/>
        <v>274.9</v>
      </c>
    </row>
    <row r="50" spans="1:9" ht="18.75" thickBot="1">
      <c r="A50" s="26" t="s">
        <v>34</v>
      </c>
      <c r="B50" s="47">
        <f>B45-B46-B49-B48-B47</f>
        <v>200.3999999999997</v>
      </c>
      <c r="C50" s="47">
        <f>C45-C46-C49-C48-C47</f>
        <v>347.5</v>
      </c>
      <c r="D50" s="47">
        <f>D45-D46-D49-D48-D47</f>
        <v>137.50000000000023</v>
      </c>
      <c r="E50" s="1">
        <f>D50/D45*100</f>
        <v>3.393302238345554</v>
      </c>
      <c r="F50" s="1">
        <f t="shared" si="6"/>
        <v>68.61277445109802</v>
      </c>
      <c r="G50" s="1">
        <f t="shared" si="4"/>
        <v>39.56834532374107</v>
      </c>
      <c r="H50" s="48">
        <f t="shared" si="7"/>
        <v>62.899999999999466</v>
      </c>
      <c r="I50" s="48">
        <f t="shared" si="5"/>
        <v>209.99999999999977</v>
      </c>
    </row>
    <row r="51" spans="1:9" ht="18.75" thickBot="1">
      <c r="A51" s="25" t="s">
        <v>4</v>
      </c>
      <c r="B51" s="49">
        <v>10673.7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</f>
        <v>8262.099999999997</v>
      </c>
      <c r="E51" s="3">
        <f>D51/D150*100</f>
        <v>1.0870895273572987</v>
      </c>
      <c r="F51" s="3">
        <f>D51/B51*100</f>
        <v>77.4061478212803</v>
      </c>
      <c r="G51" s="3">
        <f t="shared" si="4"/>
        <v>48.200523887031736</v>
      </c>
      <c r="H51" s="51">
        <f>B51-D51</f>
        <v>2411.600000000004</v>
      </c>
      <c r="I51" s="51">
        <f t="shared" si="5"/>
        <v>8879.000000000002</v>
      </c>
    </row>
    <row r="52" spans="1:9" ht="18">
      <c r="A52" s="26" t="s">
        <v>3</v>
      </c>
      <c r="B52" s="46">
        <v>6186.2</v>
      </c>
      <c r="C52" s="47">
        <v>10328.7</v>
      </c>
      <c r="D52" s="48">
        <f>8+294.9+437.7+298.5+423.7+297.9+451.2+294.5+446+301+554.2+412+820.4+487.4</f>
        <v>5527.399999999999</v>
      </c>
      <c r="E52" s="1">
        <f>D52/D51*100</f>
        <v>66.90066690066692</v>
      </c>
      <c r="F52" s="1">
        <f t="shared" si="6"/>
        <v>89.35048979987712</v>
      </c>
      <c r="G52" s="1">
        <f t="shared" si="4"/>
        <v>53.51496316090116</v>
      </c>
      <c r="H52" s="48">
        <f t="shared" si="7"/>
        <v>658.8000000000011</v>
      </c>
      <c r="I52" s="48">
        <f t="shared" si="5"/>
        <v>4801.300000000002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164.3</v>
      </c>
      <c r="C54" s="47">
        <v>287</v>
      </c>
      <c r="D54" s="48">
        <f>1.3+0.7+2.1+1+1.3+7.6+7.5+6.3+0.4+13+20.7+0.5+5.3+9.4+10+8.9+5.1+7.2+1-0.1+17.9+7.1+3.8+1.6</f>
        <v>139.60000000000002</v>
      </c>
      <c r="E54" s="1">
        <f>D54/D51*100</f>
        <v>1.6896430689534145</v>
      </c>
      <c r="F54" s="1">
        <f t="shared" si="6"/>
        <v>84.96652465003044</v>
      </c>
      <c r="G54" s="1">
        <f t="shared" si="4"/>
        <v>48.6411149825784</v>
      </c>
      <c r="H54" s="48">
        <f t="shared" si="7"/>
        <v>24.69999999999999</v>
      </c>
      <c r="I54" s="48">
        <f t="shared" si="5"/>
        <v>147.39999999999998</v>
      </c>
    </row>
    <row r="55" spans="1:9" ht="18">
      <c r="A55" s="26" t="s">
        <v>0</v>
      </c>
      <c r="B55" s="46">
        <v>576.9</v>
      </c>
      <c r="C55" s="47">
        <v>933.1</v>
      </c>
      <c r="D55" s="48">
        <f>10.7+0.6+7.6+85.1+28.4+14.4+0.1+8.5+0.1+7+0.1+7.7+62.8+6+1.3+0.9+0.9+1+0.7+0.1+4.7+15.2+34.9+9+4+15.8+5.5+7+1.9+1.5+0.1+2.4+1.8+3.7+1.3+4.5+2.3+0.7+0.1</f>
        <v>360.4</v>
      </c>
      <c r="E55" s="1">
        <f>D55/D51*100</f>
        <v>4.362087120707812</v>
      </c>
      <c r="F55" s="1">
        <f t="shared" si="6"/>
        <v>62.47183220662159</v>
      </c>
      <c r="G55" s="1">
        <f t="shared" si="4"/>
        <v>38.62394169971064</v>
      </c>
      <c r="H55" s="48">
        <f t="shared" si="7"/>
        <v>216.5</v>
      </c>
      <c r="I55" s="48">
        <f t="shared" si="5"/>
        <v>572.7</v>
      </c>
    </row>
    <row r="56" spans="1:9" ht="18">
      <c r="A56" s="26" t="s">
        <v>15</v>
      </c>
      <c r="B56" s="46">
        <v>200</v>
      </c>
      <c r="C56" s="47">
        <v>200</v>
      </c>
      <c r="D56" s="134">
        <f>40+40</f>
        <v>80</v>
      </c>
      <c r="E56" s="1">
        <f>D56/D51*100</f>
        <v>0.9682768303457964</v>
      </c>
      <c r="F56" s="1">
        <f>D56/B56*100</f>
        <v>40</v>
      </c>
      <c r="G56" s="1">
        <f>D56/C56*100</f>
        <v>40</v>
      </c>
      <c r="H56" s="48">
        <f t="shared" si="7"/>
        <v>120</v>
      </c>
      <c r="I56" s="48">
        <f t="shared" si="5"/>
        <v>120</v>
      </c>
    </row>
    <row r="57" spans="1:9" ht="18.75" thickBot="1">
      <c r="A57" s="26" t="s">
        <v>34</v>
      </c>
      <c r="B57" s="47">
        <f>B51-B52-B55-B54-B53-B56</f>
        <v>3546.3000000000006</v>
      </c>
      <c r="C57" s="47">
        <f>C51-C52-C55-C54-C53-C56</f>
        <v>5380.299999999997</v>
      </c>
      <c r="D57" s="47">
        <f>D51-D52-D55-D54-D53-D56</f>
        <v>2154.699999999998</v>
      </c>
      <c r="E57" s="1">
        <f>D57/D51*100</f>
        <v>26.079326079326066</v>
      </c>
      <c r="F57" s="1">
        <f t="shared" si="6"/>
        <v>60.759101034881354</v>
      </c>
      <c r="G57" s="1">
        <f t="shared" si="4"/>
        <v>40.04795271639126</v>
      </c>
      <c r="H57" s="48">
        <f>B57-D57</f>
        <v>1391.6000000000026</v>
      </c>
      <c r="I57" s="48">
        <f>C57-D57</f>
        <v>3225.5999999999995</v>
      </c>
    </row>
    <row r="58" spans="1:9" s="41" customFormat="1" ht="19.5" hidden="1" thickBot="1">
      <c r="A58" s="104" t="s">
        <v>82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5135.6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</f>
        <v>1254.6</v>
      </c>
      <c r="E59" s="3">
        <f>D59/D150*100</f>
        <v>0.16507455986038266</v>
      </c>
      <c r="F59" s="3">
        <f>D59/B59*100</f>
        <v>24.42947270036607</v>
      </c>
      <c r="G59" s="3">
        <f t="shared" si="4"/>
        <v>20.461884724532734</v>
      </c>
      <c r="H59" s="51">
        <f>B59-D59</f>
        <v>3881.0000000000005</v>
      </c>
      <c r="I59" s="51">
        <f t="shared" si="5"/>
        <v>4876.799999999999</v>
      </c>
    </row>
    <row r="60" spans="1:9" ht="18">
      <c r="A60" s="26" t="s">
        <v>3</v>
      </c>
      <c r="B60" s="46">
        <v>992.9</v>
      </c>
      <c r="C60" s="47">
        <f>1508.2+134.4</f>
        <v>1642.6000000000001</v>
      </c>
      <c r="D60" s="48">
        <f>43.5+72.8+47.2+62.5+0.1+35.3+86.8+44.1+125.7+41.4+92.3+60.6+92.7+66.3</f>
        <v>871.3</v>
      </c>
      <c r="E60" s="1">
        <f>D60/D59*100</f>
        <v>69.44842977841543</v>
      </c>
      <c r="F60" s="1">
        <f t="shared" si="6"/>
        <v>87.75304663108066</v>
      </c>
      <c r="G60" s="1">
        <f t="shared" si="4"/>
        <v>53.043954705953965</v>
      </c>
      <c r="H60" s="48">
        <f t="shared" si="7"/>
        <v>121.60000000000002</v>
      </c>
      <c r="I60" s="48">
        <f t="shared" si="5"/>
        <v>771.3000000000002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</f>
        <v>111.8</v>
      </c>
      <c r="E61" s="1">
        <f>D61/D59*100</f>
        <v>8.911206759126415</v>
      </c>
      <c r="F61" s="1">
        <f>D61/B61*100</f>
        <v>33.694996986136225</v>
      </c>
      <c r="G61" s="1">
        <f t="shared" si="4"/>
        <v>33.694996986136225</v>
      </c>
      <c r="H61" s="48">
        <f t="shared" si="7"/>
        <v>220</v>
      </c>
      <c r="I61" s="48">
        <f t="shared" si="5"/>
        <v>220</v>
      </c>
    </row>
    <row r="62" spans="1:9" ht="18">
      <c r="A62" s="26" t="s">
        <v>0</v>
      </c>
      <c r="B62" s="46">
        <v>368.1</v>
      </c>
      <c r="C62" s="47">
        <v>627.5</v>
      </c>
      <c r="D62" s="48">
        <f>4.7+45.7+4.9+40.9+19.8+3.9+46.3+9+12.6+0.9+3+0.3+2.8+0.3+0.1</f>
        <v>195.20000000000002</v>
      </c>
      <c r="E62" s="1">
        <f>D62/D59*100</f>
        <v>15.55874382273235</v>
      </c>
      <c r="F62" s="1">
        <f t="shared" si="6"/>
        <v>53.02906818799239</v>
      </c>
      <c r="G62" s="1">
        <f t="shared" si="4"/>
        <v>31.107569721115542</v>
      </c>
      <c r="H62" s="48">
        <f t="shared" si="7"/>
        <v>172.9</v>
      </c>
      <c r="I62" s="48">
        <f t="shared" si="5"/>
        <v>432.29999999999995</v>
      </c>
    </row>
    <row r="63" spans="1:9" ht="18">
      <c r="A63" s="26" t="s">
        <v>15</v>
      </c>
      <c r="B63" s="46">
        <v>3331.4</v>
      </c>
      <c r="C63" s="47">
        <f>3216.2+115.2</f>
        <v>3331.3999999999996</v>
      </c>
      <c r="D63" s="48"/>
      <c r="E63" s="1">
        <f>D63/D59*100</f>
        <v>0</v>
      </c>
      <c r="F63" s="1">
        <f t="shared" si="6"/>
        <v>0</v>
      </c>
      <c r="G63" s="1">
        <f t="shared" si="4"/>
        <v>0</v>
      </c>
      <c r="H63" s="48">
        <f t="shared" si="7"/>
        <v>3331.4</v>
      </c>
      <c r="I63" s="48">
        <f t="shared" si="5"/>
        <v>3331.3999999999996</v>
      </c>
    </row>
    <row r="64" spans="1:9" ht="18.75" thickBot="1">
      <c r="A64" s="26" t="s">
        <v>34</v>
      </c>
      <c r="B64" s="47">
        <f>B59-B60-B62-B63-B61</f>
        <v>111.40000000000072</v>
      </c>
      <c r="C64" s="47">
        <f>C59-C60-C62-C63-C61</f>
        <v>198.09999999999962</v>
      </c>
      <c r="D64" s="47">
        <f>D59-D60-D62-D63-D61</f>
        <v>76.29999999999994</v>
      </c>
      <c r="E64" s="1">
        <f>D64/D59*100</f>
        <v>6.081619639725805</v>
      </c>
      <c r="F64" s="1">
        <f t="shared" si="6"/>
        <v>68.4919210053855</v>
      </c>
      <c r="G64" s="1">
        <f t="shared" si="4"/>
        <v>38.51590106007071</v>
      </c>
      <c r="H64" s="48">
        <f t="shared" si="7"/>
        <v>35.100000000000776</v>
      </c>
      <c r="I64" s="48">
        <f t="shared" si="5"/>
        <v>121.79999999999968</v>
      </c>
    </row>
    <row r="65" spans="1:9" s="41" customFormat="1" ht="19.5" hidden="1" thickBot="1">
      <c r="A65" s="104" t="s">
        <v>93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79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80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81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327.9</v>
      </c>
      <c r="C69" s="50">
        <f>C70+C71</f>
        <v>538.5</v>
      </c>
      <c r="D69" s="51">
        <f>SUM(D70:D71)</f>
        <v>179.5</v>
      </c>
      <c r="E69" s="39">
        <f>D69/D150*100</f>
        <v>0.02361779331654606</v>
      </c>
      <c r="F69" s="3">
        <f>D69/B69*100</f>
        <v>54.74229948154926</v>
      </c>
      <c r="G69" s="3">
        <f t="shared" si="4"/>
        <v>33.33333333333333</v>
      </c>
      <c r="H69" s="51">
        <f>B69-D69</f>
        <v>148.39999999999998</v>
      </c>
      <c r="I69" s="51">
        <f t="shared" si="5"/>
        <v>359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157</v>
      </c>
      <c r="C71" s="47">
        <f>253.4-6+145-41+16.1</f>
        <v>367.5</v>
      </c>
      <c r="D71" s="48">
        <f>9.6</f>
        <v>9.6</v>
      </c>
      <c r="E71" s="1">
        <f>D71/D70*100</f>
        <v>5.650382577987051</v>
      </c>
      <c r="F71" s="1">
        <f t="shared" si="6"/>
        <v>6.114649681528663</v>
      </c>
      <c r="G71" s="1">
        <f t="shared" si="4"/>
        <v>2.6122448979591835</v>
      </c>
      <c r="H71" s="48">
        <f t="shared" si="7"/>
        <v>147.4</v>
      </c>
      <c r="I71" s="48">
        <f t="shared" si="5"/>
        <v>357.9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0</v>
      </c>
      <c r="C77" s="66">
        <f>10000-8192</f>
        <v>1808</v>
      </c>
      <c r="D77" s="67"/>
      <c r="E77" s="45"/>
      <c r="F77" s="45"/>
      <c r="G77" s="45"/>
      <c r="H77" s="67">
        <f>B77-D77</f>
        <v>0</v>
      </c>
      <c r="I77" s="67">
        <f t="shared" si="5"/>
        <v>1808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73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72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36578.9</v>
      </c>
      <c r="C90" s="50">
        <f>50201.5+5861+2853.8+11.8-0.1</f>
        <v>58928.00000000001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</f>
        <v>30404.6</v>
      </c>
      <c r="E90" s="3">
        <f>D90/D150*100</f>
        <v>4.000498934107278</v>
      </c>
      <c r="F90" s="3">
        <f aca="true" t="shared" si="10" ref="F90:F96">D90/B90*100</f>
        <v>83.12059684681606</v>
      </c>
      <c r="G90" s="3">
        <f t="shared" si="8"/>
        <v>51.59618517512896</v>
      </c>
      <c r="H90" s="51">
        <f aca="true" t="shared" si="11" ref="H90:H96">B90-D90</f>
        <v>6174.300000000003</v>
      </c>
      <c r="I90" s="51">
        <f t="shared" si="9"/>
        <v>28523.40000000001</v>
      </c>
    </row>
    <row r="91" spans="1:9" ht="18">
      <c r="A91" s="26" t="s">
        <v>3</v>
      </c>
      <c r="B91" s="46">
        <v>30600.3</v>
      </c>
      <c r="C91" s="47">
        <f>41785.6+5825.3+1852.2</f>
        <v>49463.1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</f>
        <v>25898.000000000004</v>
      </c>
      <c r="E91" s="1">
        <f>D91/D90*100</f>
        <v>85.17790071239222</v>
      </c>
      <c r="F91" s="1">
        <f t="shared" si="10"/>
        <v>84.63315719126938</v>
      </c>
      <c r="G91" s="1">
        <f t="shared" si="8"/>
        <v>52.358222594216706</v>
      </c>
      <c r="H91" s="48">
        <f t="shared" si="11"/>
        <v>4702.299999999996</v>
      </c>
      <c r="I91" s="48">
        <f t="shared" si="9"/>
        <v>23565.099999999995</v>
      </c>
    </row>
    <row r="92" spans="1:9" ht="18">
      <c r="A92" s="26" t="s">
        <v>32</v>
      </c>
      <c r="B92" s="46">
        <v>1204.7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</f>
        <v>1003.4</v>
      </c>
      <c r="E92" s="1">
        <f>D92/D90*100</f>
        <v>3.300158528643692</v>
      </c>
      <c r="F92" s="1">
        <f t="shared" si="10"/>
        <v>83.29044575412965</v>
      </c>
      <c r="G92" s="1">
        <f t="shared" si="8"/>
        <v>47.29895352125954</v>
      </c>
      <c r="H92" s="48">
        <f t="shared" si="11"/>
        <v>201.30000000000007</v>
      </c>
      <c r="I92" s="48">
        <f t="shared" si="9"/>
        <v>1118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4773.900000000002</v>
      </c>
      <c r="C94" s="47">
        <f>C90-C91-C92-C93</f>
        <v>7343.500000000009</v>
      </c>
      <c r="D94" s="47">
        <f>D90-D91-D92-D93</f>
        <v>3503.199999999995</v>
      </c>
      <c r="E94" s="1">
        <f>D94/D90*100</f>
        <v>11.521940758964087</v>
      </c>
      <c r="F94" s="1">
        <f t="shared" si="10"/>
        <v>73.38234986070074</v>
      </c>
      <c r="G94" s="1">
        <f>D94/C94*100</f>
        <v>47.704772928439986</v>
      </c>
      <c r="H94" s="48">
        <f t="shared" si="11"/>
        <v>1270.7000000000075</v>
      </c>
      <c r="I94" s="48">
        <f>C94-D94</f>
        <v>3840.3000000000143</v>
      </c>
    </row>
    <row r="95" spans="1:9" ht="18.75">
      <c r="A95" s="116" t="s">
        <v>12</v>
      </c>
      <c r="B95" s="119">
        <f>54440.9+322</f>
        <v>54762.9</v>
      </c>
      <c r="C95" s="121">
        <f>63500.4+11490.6+4535.2-1.1</f>
        <v>79525.09999999999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</f>
        <v>48116.200000000004</v>
      </c>
      <c r="E95" s="115">
        <f>D95/D150*100</f>
        <v>6.330910678426706</v>
      </c>
      <c r="F95" s="118">
        <f t="shared" si="10"/>
        <v>87.86276840707852</v>
      </c>
      <c r="G95" s="114">
        <f>D95/C95*100</f>
        <v>60.50441935942238</v>
      </c>
      <c r="H95" s="120">
        <f t="shared" si="11"/>
        <v>6646.699999999997</v>
      </c>
      <c r="I95" s="130">
        <f>C95-D95</f>
        <v>31408.899999999987</v>
      </c>
    </row>
    <row r="96" spans="1:9" ht="18.75" thickBot="1">
      <c r="A96" s="117" t="s">
        <v>100</v>
      </c>
      <c r="B96" s="122">
        <f>3437.3+120</f>
        <v>3557.3</v>
      </c>
      <c r="C96" s="123">
        <f>5343.5+287.2</f>
        <v>5630.7</v>
      </c>
      <c r="D96" s="124">
        <f>57.3+368.5+61.1+0.1+320+59+0.8+309+245.5+61.2+0.4-0.1+489+12.5+64.8+24.2+437.3+329.2+2.4+382.5+3.4+31.2+13.3+8.3</f>
        <v>3280.9000000000005</v>
      </c>
      <c r="E96" s="125">
        <f>D96/D95*100</f>
        <v>6.8187013937093965</v>
      </c>
      <c r="F96" s="126">
        <f t="shared" si="10"/>
        <v>92.23006212576955</v>
      </c>
      <c r="G96" s="127">
        <f>D96/C96*100</f>
        <v>58.2680661374252</v>
      </c>
      <c r="H96" s="131">
        <f t="shared" si="11"/>
        <v>276.39999999999964</v>
      </c>
      <c r="I96" s="132">
        <f>C96-D96</f>
        <v>2349.7999999999993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6018.5</v>
      </c>
      <c r="C102" s="100">
        <f>10703.3-154-3.5-134.3</f>
        <v>10411.5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</f>
        <v>4740.700000000001</v>
      </c>
      <c r="E102" s="22">
        <f>D102/D150*100</f>
        <v>0.623759736912256</v>
      </c>
      <c r="F102" s="22">
        <f>D102/B102*100</f>
        <v>78.76879621168065</v>
      </c>
      <c r="G102" s="22">
        <f aca="true" t="shared" si="12" ref="G102:G148">D102/C102*100</f>
        <v>45.53330451904145</v>
      </c>
      <c r="H102" s="87">
        <f aca="true" t="shared" si="13" ref="H102:H107">B102-D102</f>
        <v>1277.7999999999993</v>
      </c>
      <c r="I102" s="87">
        <f aca="true" t="shared" si="14" ref="I102:I148">C102-D102</f>
        <v>5670.799999999999</v>
      </c>
    </row>
    <row r="103" spans="1:9" ht="18">
      <c r="A103" s="26" t="s">
        <v>3</v>
      </c>
      <c r="B103" s="97">
        <v>91.9</v>
      </c>
      <c r="C103" s="95">
        <v>187.6</v>
      </c>
      <c r="D103" s="95">
        <f>15.1+18.9-0.1</f>
        <v>33.9</v>
      </c>
      <c r="E103" s="91">
        <f>D103/D102*100</f>
        <v>0.7150842702554474</v>
      </c>
      <c r="F103" s="1">
        <f>D103/B103*100</f>
        <v>36.88792165397171</v>
      </c>
      <c r="G103" s="91">
        <f>D103/C103*100</f>
        <v>18.070362473347547</v>
      </c>
      <c r="H103" s="95">
        <f t="shared" si="13"/>
        <v>58.00000000000001</v>
      </c>
      <c r="I103" s="95">
        <f t="shared" si="14"/>
        <v>153.7</v>
      </c>
    </row>
    <row r="104" spans="1:9" ht="18">
      <c r="A104" s="93" t="s">
        <v>60</v>
      </c>
      <c r="B104" s="78">
        <v>4885.7</v>
      </c>
      <c r="C104" s="48">
        <f>8863.3-154-3.5-134.3</f>
        <v>8571.5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</f>
        <v>4211.999999999999</v>
      </c>
      <c r="E104" s="1">
        <f>D104/D102*100</f>
        <v>88.84763853439362</v>
      </c>
      <c r="F104" s="1">
        <f aca="true" t="shared" si="15" ref="F104:F148">D104/B104*100</f>
        <v>86.21077839408886</v>
      </c>
      <c r="G104" s="1">
        <f t="shared" si="12"/>
        <v>49.139590503412464</v>
      </c>
      <c r="H104" s="48">
        <f t="shared" si="13"/>
        <v>673.7000000000007</v>
      </c>
      <c r="I104" s="48">
        <f t="shared" si="14"/>
        <v>4359.500000000001</v>
      </c>
    </row>
    <row r="105" spans="1:9" ht="54.75" hidden="1" thickBot="1">
      <c r="A105" s="94" t="s">
        <v>96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1040.9000000000005</v>
      </c>
      <c r="C106" s="96">
        <f>C102-C103-C104</f>
        <v>1652.3999999999996</v>
      </c>
      <c r="D106" s="96">
        <f>D102-D103-D104</f>
        <v>494.800000000002</v>
      </c>
      <c r="E106" s="92">
        <f>D106/D102*100</f>
        <v>10.437277195350939</v>
      </c>
      <c r="F106" s="92">
        <f t="shared" si="15"/>
        <v>47.53578633874548</v>
      </c>
      <c r="G106" s="92">
        <f t="shared" si="12"/>
        <v>29.944323408375823</v>
      </c>
      <c r="H106" s="132">
        <f>B106-D106</f>
        <v>546.0999999999985</v>
      </c>
      <c r="I106" s="132">
        <f t="shared" si="14"/>
        <v>1157.5999999999976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310843.69999999995</v>
      </c>
      <c r="C107" s="89">
        <f>SUM(C108:C147)-C115-C119+C148-C139-C140-C109-C112-C122-C123-C137-C131-C129</f>
        <v>479833.89999999997</v>
      </c>
      <c r="D107" s="89">
        <f>SUM(D108:D147)-D115-D119+D148-D139-D140-D109-D112-D122-D123-D137-D131-D129</f>
        <v>261659.50000000003</v>
      </c>
      <c r="E107" s="90">
        <f>D107/D150*100</f>
        <v>34.42796651983724</v>
      </c>
      <c r="F107" s="90">
        <f>D107/B107*100</f>
        <v>84.17719258907293</v>
      </c>
      <c r="G107" s="90">
        <f t="shared" si="12"/>
        <v>54.53126592347894</v>
      </c>
      <c r="H107" s="89">
        <f t="shared" si="13"/>
        <v>49184.199999999924</v>
      </c>
      <c r="I107" s="89">
        <f t="shared" si="14"/>
        <v>218174.39999999994</v>
      </c>
    </row>
    <row r="108" spans="1:9" ht="37.5">
      <c r="A108" s="31" t="s">
        <v>64</v>
      </c>
      <c r="B108" s="75">
        <v>1264.4</v>
      </c>
      <c r="C108" s="71">
        <v>2166.2</v>
      </c>
      <c r="D108" s="76">
        <f>142.7+0.9+78.6+37.4+44.2+140.1+1+20.9+25.7+0.2+2+0.6+0.4+1.8+1.5-0.1+62.6+2.1+1.9+2.9+1+9.8+0.1+52+4.8+2+1.2+2+5.2+2.6-0.1+56.3+43+2.2+0.3</f>
        <v>749.7999999999998</v>
      </c>
      <c r="E108" s="6">
        <f>D108/D107*100</f>
        <v>0.2865556190392475</v>
      </c>
      <c r="F108" s="6">
        <f t="shared" si="15"/>
        <v>59.300854160075914</v>
      </c>
      <c r="G108" s="6">
        <f t="shared" si="12"/>
        <v>34.613609085033694</v>
      </c>
      <c r="H108" s="65">
        <f aca="true" t="shared" si="16" ref="H108:H148">B108-D108</f>
        <v>514.6000000000003</v>
      </c>
      <c r="I108" s="65">
        <f t="shared" si="14"/>
        <v>1416.4</v>
      </c>
    </row>
    <row r="109" spans="1:9" ht="18">
      <c r="A109" s="26" t="s">
        <v>32</v>
      </c>
      <c r="B109" s="78">
        <v>680.3</v>
      </c>
      <c r="C109" s="48">
        <v>1213.5</v>
      </c>
      <c r="D109" s="79">
        <f>142.7+0.9+78.6+37.4+20.9+42.5+24.8+0.6+32.7</f>
        <v>381.09999999999997</v>
      </c>
      <c r="E109" s="1">
        <f>D109/D108*100</f>
        <v>50.826887169911984</v>
      </c>
      <c r="F109" s="1">
        <f t="shared" si="15"/>
        <v>56.019403204468624</v>
      </c>
      <c r="G109" s="1">
        <f t="shared" si="12"/>
        <v>31.405026782035435</v>
      </c>
      <c r="H109" s="48">
        <f t="shared" si="16"/>
        <v>299.2</v>
      </c>
      <c r="I109" s="48">
        <f t="shared" si="14"/>
        <v>832.4000000000001</v>
      </c>
    </row>
    <row r="110" spans="1:9" ht="34.5" customHeight="1">
      <c r="A110" s="16" t="s">
        <v>95</v>
      </c>
      <c r="B110" s="77">
        <v>298.5</v>
      </c>
      <c r="C110" s="65">
        <v>778.3</v>
      </c>
      <c r="D110" s="76">
        <f>26.5+20.2+7.7+37.4+7.5+38.9-0.1+38.9+12.6+45.5+9.7+1.6+37.6</f>
        <v>284</v>
      </c>
      <c r="E110" s="6">
        <f>D110/D107*100</f>
        <v>0.10853800454407349</v>
      </c>
      <c r="F110" s="6">
        <f>D110/B110*100</f>
        <v>95.14237855946399</v>
      </c>
      <c r="G110" s="6">
        <f t="shared" si="12"/>
        <v>36.48978542978286</v>
      </c>
      <c r="H110" s="65">
        <f t="shared" si="16"/>
        <v>14.5</v>
      </c>
      <c r="I110" s="65">
        <f t="shared" si="14"/>
        <v>494.29999999999995</v>
      </c>
    </row>
    <row r="111" spans="1:9" s="41" customFormat="1" ht="34.5" customHeight="1">
      <c r="A111" s="16" t="s">
        <v>71</v>
      </c>
      <c r="B111" s="77">
        <v>531.6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531.6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115</v>
      </c>
      <c r="B113" s="77">
        <v>40</v>
      </c>
      <c r="C113" s="65">
        <v>50</v>
      </c>
      <c r="D113" s="76">
        <f>5.8+4.7+0.7</f>
        <v>11.2</v>
      </c>
      <c r="E113" s="6">
        <f>D113/D107*100</f>
        <v>0.0042803720101888135</v>
      </c>
      <c r="F113" s="6">
        <f t="shared" si="15"/>
        <v>27.999999999999996</v>
      </c>
      <c r="G113" s="6">
        <f t="shared" si="12"/>
        <v>22.4</v>
      </c>
      <c r="H113" s="65">
        <f t="shared" si="16"/>
        <v>28.8</v>
      </c>
      <c r="I113" s="65">
        <f t="shared" si="14"/>
        <v>38.8</v>
      </c>
    </row>
    <row r="114" spans="1:9" ht="37.5">
      <c r="A114" s="16" t="s">
        <v>46</v>
      </c>
      <c r="B114" s="77">
        <v>1067.5</v>
      </c>
      <c r="C114" s="65">
        <v>1795.8</v>
      </c>
      <c r="D114" s="76">
        <f>82.2+4.4+0.2+16.8+100.8+0.1+8.3+21.3+93.2+14.5+11.8+88.2+4.6+1.1+5.8+6+2.3+112.3+12.6+0.8+1.5+0.2+0.2+72.9+5.6+10.9+0.3+11.7+5.8</f>
        <v>696.4000000000001</v>
      </c>
      <c r="E114" s="6">
        <f>D114/D107*100</f>
        <v>0.26614741677638304</v>
      </c>
      <c r="F114" s="6">
        <f t="shared" si="15"/>
        <v>65.23653395784544</v>
      </c>
      <c r="G114" s="6">
        <f t="shared" si="12"/>
        <v>38.77937409511082</v>
      </c>
      <c r="H114" s="65">
        <f t="shared" si="16"/>
        <v>371.0999999999999</v>
      </c>
      <c r="I114" s="65">
        <f t="shared" si="14"/>
        <v>1099.3999999999999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116</v>
      </c>
      <c r="B116" s="77">
        <v>91.5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91.5</v>
      </c>
      <c r="I116" s="57">
        <f t="shared" si="14"/>
        <v>264.5</v>
      </c>
    </row>
    <row r="117" spans="1:9" ht="37.5">
      <c r="A117" s="16" t="s">
        <v>57</v>
      </c>
      <c r="B117" s="77">
        <v>105</v>
      </c>
      <c r="C117" s="65">
        <v>110</v>
      </c>
      <c r="D117" s="76"/>
      <c r="E117" s="6">
        <f>D117/D107*100</f>
        <v>0</v>
      </c>
      <c r="F117" s="6">
        <f>D117/B117*100</f>
        <v>0</v>
      </c>
      <c r="G117" s="6">
        <f t="shared" si="12"/>
        <v>0</v>
      </c>
      <c r="H117" s="65">
        <f t="shared" si="16"/>
        <v>105</v>
      </c>
      <c r="I117" s="65">
        <f t="shared" si="14"/>
        <v>110</v>
      </c>
    </row>
    <row r="118" spans="1:9" s="2" customFormat="1" ht="18.75">
      <c r="A118" s="16" t="s">
        <v>16</v>
      </c>
      <c r="B118" s="77">
        <f>136.3</f>
        <v>136.3</v>
      </c>
      <c r="C118" s="57">
        <v>229.6</v>
      </c>
      <c r="D118" s="76">
        <f>17.1-0.3+0.8+0.3+21.4+4.2+0.3+17.6+4.2+0.8+0.3+16.8+0.3+2+2.2+17.7+1.1+4.1+17.7+0.8+4.3+0.3</f>
        <v>134</v>
      </c>
      <c r="E118" s="6">
        <f>D118/D107*100</f>
        <v>0.051211593693330455</v>
      </c>
      <c r="F118" s="6">
        <f t="shared" si="15"/>
        <v>98.3125458547322</v>
      </c>
      <c r="G118" s="6">
        <f t="shared" si="12"/>
        <v>58.36236933797909</v>
      </c>
      <c r="H118" s="65">
        <f t="shared" si="16"/>
        <v>2.3000000000000114</v>
      </c>
      <c r="I118" s="65">
        <f t="shared" si="14"/>
        <v>95.6</v>
      </c>
    </row>
    <row r="119" spans="1:9" s="36" customFormat="1" ht="18">
      <c r="A119" s="37" t="s">
        <v>53</v>
      </c>
      <c r="B119" s="78">
        <v>102.6</v>
      </c>
      <c r="C119" s="48">
        <v>170.2</v>
      </c>
      <c r="D119" s="79">
        <f>17.1-0.3+16.8+16.8+16.8+17.7+17.7</f>
        <v>102.60000000000001</v>
      </c>
      <c r="E119" s="1">
        <f>D119/D118*100</f>
        <v>76.56716417910448</v>
      </c>
      <c r="F119" s="1">
        <f t="shared" si="15"/>
        <v>100.00000000000003</v>
      </c>
      <c r="G119" s="1">
        <f t="shared" si="12"/>
        <v>60.28202115158637</v>
      </c>
      <c r="H119" s="48">
        <f t="shared" si="16"/>
        <v>0</v>
      </c>
      <c r="I119" s="48">
        <f t="shared" si="14"/>
        <v>67.59999999999998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f>568.7-122</f>
        <v>446.70000000000005</v>
      </c>
      <c r="C121" s="57">
        <f>204.9+375.8-12</f>
        <v>568.7</v>
      </c>
      <c r="D121" s="80">
        <f>136.8+10</f>
        <v>146.8</v>
      </c>
      <c r="E121" s="17">
        <f>D121/D107*100</f>
        <v>0.05610344741926053</v>
      </c>
      <c r="F121" s="6">
        <f t="shared" si="15"/>
        <v>32.86321916274905</v>
      </c>
      <c r="G121" s="6">
        <f t="shared" si="12"/>
        <v>25.81325830842272</v>
      </c>
      <c r="H121" s="65">
        <f t="shared" si="16"/>
        <v>299.90000000000003</v>
      </c>
      <c r="I121" s="65">
        <f t="shared" si="14"/>
        <v>421.90000000000003</v>
      </c>
    </row>
    <row r="122" spans="1:9" s="110" customFormat="1" ht="18">
      <c r="A122" s="26" t="s">
        <v>97</v>
      </c>
      <c r="B122" s="78">
        <v>80</v>
      </c>
      <c r="C122" s="48">
        <v>80</v>
      </c>
      <c r="D122" s="79"/>
      <c r="E122" s="6"/>
      <c r="F122" s="1">
        <f>D122/B122*100</f>
        <v>0</v>
      </c>
      <c r="G122" s="1">
        <f t="shared" si="12"/>
        <v>0</v>
      </c>
      <c r="H122" s="48">
        <f t="shared" si="16"/>
        <v>80</v>
      </c>
      <c r="I122" s="48">
        <f t="shared" si="14"/>
        <v>80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12271</v>
      </c>
      <c r="C124" s="57">
        <f>5096.9+1707.5+6000</f>
        <v>12804.4</v>
      </c>
      <c r="D124" s="80">
        <f>3776+7.6+1124+100+14.3+14.5+0.1+20.4+3015.8+9+1156.5+27+0.1+1146.6+5.2+681+29.9+16.3</f>
        <v>11144.300000000001</v>
      </c>
      <c r="E124" s="17">
        <f>D124/D107*100</f>
        <v>4.259084802959571</v>
      </c>
      <c r="F124" s="6">
        <f t="shared" si="15"/>
        <v>90.8181892266319</v>
      </c>
      <c r="G124" s="6">
        <f t="shared" si="12"/>
        <v>87.03492549436133</v>
      </c>
      <c r="H124" s="65">
        <f t="shared" si="16"/>
        <v>1126.699999999999</v>
      </c>
      <c r="I124" s="65">
        <f t="shared" si="14"/>
        <v>1660.0999999999985</v>
      </c>
    </row>
    <row r="125" spans="1:9" s="2" customFormat="1" ht="18.75">
      <c r="A125" s="16" t="s">
        <v>118</v>
      </c>
      <c r="B125" s="77">
        <v>890</v>
      </c>
      <c r="C125" s="57">
        <v>1239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890</v>
      </c>
      <c r="I125" s="65">
        <f t="shared" si="14"/>
        <v>1239</v>
      </c>
    </row>
    <row r="126" spans="1:9" s="2" customFormat="1" ht="37.5">
      <c r="A126" s="16" t="s">
        <v>117</v>
      </c>
      <c r="B126" s="77">
        <v>0</v>
      </c>
      <c r="C126" s="57">
        <v>20</v>
      </c>
      <c r="D126" s="80"/>
      <c r="E126" s="17">
        <f>D126/D107*100</f>
        <v>0</v>
      </c>
      <c r="F126" s="133" t="e">
        <f t="shared" si="15"/>
        <v>#DIV/0!</v>
      </c>
      <c r="G126" s="6">
        <f t="shared" si="12"/>
        <v>0</v>
      </c>
      <c r="H126" s="65">
        <f t="shared" si="16"/>
        <v>0</v>
      </c>
      <c r="I126" s="65">
        <f t="shared" si="14"/>
        <v>20</v>
      </c>
    </row>
    <row r="127" spans="1:9" s="2" customFormat="1" ht="37.5">
      <c r="A127" s="16" t="s">
        <v>102</v>
      </c>
      <c r="B127" s="77">
        <f>95.1-5.2</f>
        <v>89.89999999999999</v>
      </c>
      <c r="C127" s="57">
        <v>95.1</v>
      </c>
      <c r="D127" s="80">
        <f>4.5+17.5+0.7</f>
        <v>22.7</v>
      </c>
      <c r="E127" s="17">
        <f>D127/D107*100</f>
        <v>0.008675396842079113</v>
      </c>
      <c r="F127" s="6">
        <f t="shared" si="15"/>
        <v>25.25027808676307</v>
      </c>
      <c r="G127" s="6">
        <f t="shared" si="12"/>
        <v>23.869610935856993</v>
      </c>
      <c r="H127" s="65">
        <f t="shared" si="16"/>
        <v>67.19999999999999</v>
      </c>
      <c r="I127" s="65">
        <f t="shared" si="14"/>
        <v>72.39999999999999</v>
      </c>
    </row>
    <row r="128" spans="1:9" s="2" customFormat="1" ht="37.5">
      <c r="A128" s="16" t="s">
        <v>74</v>
      </c>
      <c r="B128" s="77">
        <v>534.4</v>
      </c>
      <c r="C128" s="57">
        <v>983</v>
      </c>
      <c r="D128" s="80">
        <f>2.8+14.4+2.8+8.8+3.7+4+2.8+5.8+9.6+4.2+2.7+0.2+2.9+76+0.5+2.6+4.7</f>
        <v>148.49999999999997</v>
      </c>
      <c r="E128" s="17">
        <f>D128/D107*100</f>
        <v>0.0567531467422356</v>
      </c>
      <c r="F128" s="6">
        <f t="shared" si="15"/>
        <v>27.78817365269461</v>
      </c>
      <c r="G128" s="6">
        <f t="shared" si="12"/>
        <v>15.106815869786367</v>
      </c>
      <c r="H128" s="65">
        <f t="shared" si="16"/>
        <v>385.9</v>
      </c>
      <c r="I128" s="65">
        <f t="shared" si="14"/>
        <v>834.5</v>
      </c>
    </row>
    <row r="129" spans="1:9" s="36" customFormat="1" ht="18">
      <c r="A129" s="26" t="s">
        <v>111</v>
      </c>
      <c r="B129" s="78">
        <v>459.5</v>
      </c>
      <c r="C129" s="48">
        <v>851.8</v>
      </c>
      <c r="D129" s="79">
        <f>2.8+2.8-0.1+2.8+2.7+2.9+70.7+4.7</f>
        <v>89.30000000000001</v>
      </c>
      <c r="E129" s="1">
        <f>D129/D128*100</f>
        <v>60.13468013468015</v>
      </c>
      <c r="F129" s="1">
        <f>D129/B129*100</f>
        <v>19.434167573449404</v>
      </c>
      <c r="G129" s="1">
        <f t="shared" si="12"/>
        <v>10.483681615402679</v>
      </c>
      <c r="H129" s="48">
        <f t="shared" si="16"/>
        <v>370.2</v>
      </c>
      <c r="I129" s="48">
        <f t="shared" si="14"/>
        <v>762.5</v>
      </c>
    </row>
    <row r="130" spans="1:9" s="2" customFormat="1" ht="18.75" hidden="1">
      <c r="A130" s="16" t="s">
        <v>69</v>
      </c>
      <c r="B130" s="77"/>
      <c r="C130" s="57"/>
      <c r="D130" s="80"/>
      <c r="E130" s="17">
        <f>D130/D107*100</f>
        <v>0</v>
      </c>
      <c r="F130" s="6" t="e">
        <f t="shared" si="15"/>
        <v>#DIV/0!</v>
      </c>
      <c r="G130" s="6" t="e">
        <f t="shared" si="12"/>
        <v>#DIV/0!</v>
      </c>
      <c r="H130" s="65">
        <f t="shared" si="16"/>
        <v>0</v>
      </c>
      <c r="I130" s="65">
        <f t="shared" si="14"/>
        <v>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42.8</v>
      </c>
      <c r="C132" s="57">
        <v>64.1</v>
      </c>
      <c r="D132" s="80">
        <f>0.8+2.3+1.8+1+14.8</f>
        <v>20.7</v>
      </c>
      <c r="E132" s="17">
        <f>D132/D107*100</f>
        <v>0.00791104469740254</v>
      </c>
      <c r="F132" s="6">
        <f t="shared" si="15"/>
        <v>48.36448598130841</v>
      </c>
      <c r="G132" s="6">
        <f t="shared" si="12"/>
        <v>32.293291731669264</v>
      </c>
      <c r="H132" s="65">
        <f t="shared" si="16"/>
        <v>22.099999999999998</v>
      </c>
      <c r="I132" s="65">
        <f t="shared" si="14"/>
        <v>43.39999999999999</v>
      </c>
    </row>
    <row r="133" spans="1:9" s="2" customFormat="1" ht="35.25" customHeight="1" hidden="1">
      <c r="A133" s="16" t="s">
        <v>70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109</v>
      </c>
      <c r="B134" s="77">
        <f>334.2-200</f>
        <v>134.2</v>
      </c>
      <c r="C134" s="57">
        <v>600</v>
      </c>
      <c r="D134" s="80">
        <f>0.8+5+0.9+2.6-0.1+0.6+0.1</f>
        <v>9.9</v>
      </c>
      <c r="E134" s="17">
        <f>D134/D107*100</f>
        <v>0.003783543116149041</v>
      </c>
      <c r="F134" s="6">
        <f t="shared" si="15"/>
        <v>7.37704918032787</v>
      </c>
      <c r="G134" s="6">
        <f t="shared" si="12"/>
        <v>1.6500000000000001</v>
      </c>
      <c r="H134" s="65">
        <f t="shared" si="16"/>
        <v>124.29999999999998</v>
      </c>
      <c r="I134" s="65">
        <f t="shared" si="14"/>
        <v>590.1</v>
      </c>
    </row>
    <row r="135" spans="1:9" s="2" customFormat="1" ht="35.25" customHeight="1" hidden="1">
      <c r="A135" s="16" t="s">
        <v>110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101</v>
      </c>
      <c r="B136" s="77">
        <v>212</v>
      </c>
      <c r="C136" s="57">
        <v>363.7</v>
      </c>
      <c r="D136" s="80">
        <f>5.2+0.3+2.7+0.1+0.5+0.2+13.8+39.2+5+5.9+2+6.5+0.1+32.4+5+3.9+0.2+0.7+8.4+0.1</f>
        <v>132.20000000000002</v>
      </c>
      <c r="E136" s="17">
        <f>D136/D107*100</f>
        <v>0.050523676763121535</v>
      </c>
      <c r="F136" s="6">
        <f t="shared" si="15"/>
        <v>62.35849056603774</v>
      </c>
      <c r="G136" s="6">
        <f>D136/C136*100</f>
        <v>36.34863898817707</v>
      </c>
      <c r="H136" s="65">
        <f t="shared" si="16"/>
        <v>79.79999999999998</v>
      </c>
      <c r="I136" s="65">
        <f t="shared" si="14"/>
        <v>231.49999999999997</v>
      </c>
    </row>
    <row r="137" spans="1:9" s="36" customFormat="1" ht="18">
      <c r="A137" s="26" t="s">
        <v>32</v>
      </c>
      <c r="B137" s="78">
        <v>127.7</v>
      </c>
      <c r="C137" s="48">
        <v>218.8</v>
      </c>
      <c r="D137" s="79">
        <f>0.3+39.3+0.2+2+32.4+0.2-0.1+5.4</f>
        <v>79.7</v>
      </c>
      <c r="E137" s="111">
        <f>D137/D136*100</f>
        <v>60.287443267776084</v>
      </c>
      <c r="F137" s="1">
        <f t="shared" si="15"/>
        <v>62.411902897415814</v>
      </c>
      <c r="G137" s="1">
        <f>D137/C137*100</f>
        <v>36.42595978062157</v>
      </c>
      <c r="H137" s="48">
        <f t="shared" si="16"/>
        <v>48</v>
      </c>
      <c r="I137" s="48">
        <f t="shared" si="14"/>
        <v>139.10000000000002</v>
      </c>
    </row>
    <row r="138" spans="1:9" s="2" customFormat="1" ht="18.75">
      <c r="A138" s="16" t="s">
        <v>31</v>
      </c>
      <c r="B138" s="77">
        <v>684.3</v>
      </c>
      <c r="C138" s="57">
        <f>1160.2+12</f>
        <v>1172.2</v>
      </c>
      <c r="D138" s="80">
        <f>26.5+42.3+30.1+3.6+8.6+42.3+0.1+5.7+31.9+5.2+42.5+11.7+55+45.4+28.3+17.8+9.6+33.4+0.9+26.8+46.9+38.1-0.1+30.6+29.1</f>
        <v>612.3</v>
      </c>
      <c r="E138" s="17">
        <f>D138/D107*100</f>
        <v>0.23400640909273304</v>
      </c>
      <c r="F138" s="6">
        <f t="shared" si="15"/>
        <v>89.47829899167033</v>
      </c>
      <c r="G138" s="6">
        <f t="shared" si="12"/>
        <v>52.23511346186657</v>
      </c>
      <c r="H138" s="65">
        <f t="shared" si="16"/>
        <v>72</v>
      </c>
      <c r="I138" s="65">
        <f t="shared" si="14"/>
        <v>559.9000000000001</v>
      </c>
    </row>
    <row r="139" spans="1:9" s="36" customFormat="1" ht="18">
      <c r="A139" s="37" t="s">
        <v>53</v>
      </c>
      <c r="B139" s="78">
        <v>512.5</v>
      </c>
      <c r="C139" s="48">
        <v>886.2</v>
      </c>
      <c r="D139" s="79">
        <f>26.5+39.8+30.1+42.1+0.1+31.9+40.5+11.2+38.1+30.1+28.3+17.4+33.4+8.9+24.2+37.9+28.8</f>
        <v>469.29999999999995</v>
      </c>
      <c r="E139" s="1">
        <f>D139/D138*100</f>
        <v>76.64543524416135</v>
      </c>
      <c r="F139" s="1">
        <f aca="true" t="shared" si="17" ref="F139:F147">D139/B139*100</f>
        <v>91.57073170731707</v>
      </c>
      <c r="G139" s="1">
        <f t="shared" si="12"/>
        <v>52.95644324080342</v>
      </c>
      <c r="H139" s="48">
        <f t="shared" si="16"/>
        <v>43.200000000000045</v>
      </c>
      <c r="I139" s="48">
        <f t="shared" si="14"/>
        <v>416.9000000000001</v>
      </c>
    </row>
    <row r="140" spans="1:9" s="36" customFormat="1" ht="18">
      <c r="A140" s="26" t="s">
        <v>32</v>
      </c>
      <c r="B140" s="78">
        <v>22.9</v>
      </c>
      <c r="C140" s="48">
        <v>39.3</v>
      </c>
      <c r="D140" s="79">
        <f>8.6+0.2+0.3+5.1+0.4+5.3+0.3+0.3+0.2</f>
        <v>20.7</v>
      </c>
      <c r="E140" s="1">
        <f>D140/D138*100</f>
        <v>3.3806957373836357</v>
      </c>
      <c r="F140" s="1">
        <f t="shared" si="17"/>
        <v>90.39301310043668</v>
      </c>
      <c r="G140" s="1">
        <f>D140/C140*100</f>
        <v>52.67175572519084</v>
      </c>
      <c r="H140" s="48">
        <f t="shared" si="16"/>
        <v>2.1999999999999993</v>
      </c>
      <c r="I140" s="48">
        <f t="shared" si="14"/>
        <v>18.599999999999998</v>
      </c>
    </row>
    <row r="141" spans="1:9" s="2" customFormat="1" ht="56.25">
      <c r="A141" s="20" t="s">
        <v>106</v>
      </c>
      <c r="B141" s="77">
        <v>345</v>
      </c>
      <c r="C141" s="57">
        <v>345</v>
      </c>
      <c r="D141" s="80">
        <f>345</f>
        <v>345</v>
      </c>
      <c r="E141" s="17">
        <f>D141/D107*100</f>
        <v>0.13185074495670898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108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103</v>
      </c>
      <c r="B143" s="77">
        <v>26066.1</v>
      </c>
      <c r="C143" s="57">
        <f>16744+15000+2000-2607.4</f>
        <v>31136.6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</f>
        <v>19923.199999999997</v>
      </c>
      <c r="E143" s="17">
        <f>D143/D107*100</f>
        <v>7.614170324410158</v>
      </c>
      <c r="F143" s="107">
        <f t="shared" si="17"/>
        <v>76.43337515009915</v>
      </c>
      <c r="G143" s="6">
        <f t="shared" si="12"/>
        <v>63.98643397159612</v>
      </c>
      <c r="H143" s="65">
        <f t="shared" si="16"/>
        <v>6142.9000000000015</v>
      </c>
      <c r="I143" s="65">
        <f t="shared" si="14"/>
        <v>11213.400000000001</v>
      </c>
    </row>
    <row r="144" spans="1:9" s="2" customFormat="1" ht="18.75" hidden="1">
      <c r="A144" s="20" t="s">
        <v>104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107</v>
      </c>
      <c r="B145" s="77">
        <v>2177.7</v>
      </c>
      <c r="C145" s="57">
        <f>6504.8-4188</f>
        <v>2316.8</v>
      </c>
      <c r="D145" s="80">
        <f>2094</f>
        <v>2094</v>
      </c>
      <c r="E145" s="17">
        <f>D145/D107*100</f>
        <v>0.8002766954763728</v>
      </c>
      <c r="F145" s="107">
        <f t="shared" si="17"/>
        <v>96.15649538503926</v>
      </c>
      <c r="G145" s="6">
        <f t="shared" si="12"/>
        <v>90.38328729281767</v>
      </c>
      <c r="H145" s="65">
        <f t="shared" si="16"/>
        <v>83.69999999999982</v>
      </c>
      <c r="I145" s="65">
        <f t="shared" si="14"/>
        <v>222.80000000000018</v>
      </c>
    </row>
    <row r="146" spans="1:12" s="2" customFormat="1" ht="18.75" customHeight="1">
      <c r="A146" s="16" t="s">
        <v>94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0.23033751879828557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v>245894.5</v>
      </c>
      <c r="C147" s="57">
        <f>298394.8+81857.1-188.4+8192+4136.9-39.9</f>
        <v>392352.5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</f>
        <v>209275.40000000002</v>
      </c>
      <c r="E147" s="17">
        <f>D147/D107*100</f>
        <v>79.98005040902395</v>
      </c>
      <c r="F147" s="6">
        <f t="shared" si="17"/>
        <v>85.10780029646861</v>
      </c>
      <c r="G147" s="6">
        <f t="shared" si="12"/>
        <v>53.33861769709637</v>
      </c>
      <c r="H147" s="65">
        <f t="shared" si="16"/>
        <v>36619.09999999998</v>
      </c>
      <c r="I147" s="65">
        <f t="shared" si="14"/>
        <v>183077.09999999998</v>
      </c>
      <c r="K147" s="99"/>
      <c r="L147" s="42"/>
    </row>
    <row r="148" spans="1:12" s="2" customFormat="1" ht="18.75">
      <c r="A148" s="16" t="s">
        <v>105</v>
      </c>
      <c r="B148" s="77">
        <v>16917.6</v>
      </c>
      <c r="C148" s="57">
        <v>29001.6</v>
      </c>
      <c r="D148" s="80">
        <f>805.6+805.6+805.6+805.6+805.6+805.6+805.6+805.6+805.6+805.6+805.6+805.6+805.6+805.6+805.6+805.6+805.6+805.6+805.6</f>
        <v>15306.400000000005</v>
      </c>
      <c r="E148" s="17">
        <f>D148/D107*100</f>
        <v>5.849739833638757</v>
      </c>
      <c r="F148" s="6">
        <f t="shared" si="15"/>
        <v>90.47619047619051</v>
      </c>
      <c r="G148" s="6">
        <f t="shared" si="12"/>
        <v>52.7777777777778</v>
      </c>
      <c r="H148" s="65">
        <f t="shared" si="16"/>
        <v>1611.1999999999935</v>
      </c>
      <c r="I148" s="65">
        <f t="shared" si="14"/>
        <v>13695.199999999993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317793.1</v>
      </c>
      <c r="C149" s="81">
        <f>C43+C69+C72+C77+C79+C87+C102+C107+C100+C84+C98</f>
        <v>493497.39999999997</v>
      </c>
      <c r="D149" s="57">
        <f>D43+D69+D72+D77+D79+D87+D102+D107+D100+D84+D98</f>
        <v>267073.00000000006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883423.5</v>
      </c>
      <c r="C150" s="51">
        <f>C6+C18+C33+C43+C51+C59+C69+C72+C77+C79+C87+C90+C95+C102+C107+C100+C84+C98+C45</f>
        <v>1395710.9000000001</v>
      </c>
      <c r="D150" s="51">
        <f>D6+D18+D33+D43+D51+D59+D69+D72+D77+D79+D87+D90+D95+D102+D107+D100+D84+D98+D45</f>
        <v>760020.2</v>
      </c>
      <c r="E150" s="35">
        <v>100</v>
      </c>
      <c r="F150" s="3">
        <f>D150/B150*100</f>
        <v>86.03124096200746</v>
      </c>
      <c r="G150" s="3">
        <f aca="true" t="shared" si="18" ref="G150:G156">D150/C150*100</f>
        <v>54.45398470413893</v>
      </c>
      <c r="H150" s="51">
        <f aca="true" t="shared" si="19" ref="H150:H156">B150-D150</f>
        <v>123403.30000000005</v>
      </c>
      <c r="I150" s="51">
        <f aca="true" t="shared" si="20" ref="I150:I156">C150-D150</f>
        <v>635690.7000000002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363861.5</v>
      </c>
      <c r="C151" s="64">
        <f>C8+C20+C34+C52+C60+C91+C115+C119+C46+C139+C131+C103</f>
        <v>589171.4999999998</v>
      </c>
      <c r="D151" s="64">
        <f>D8+D20+D34+D52+D60+D91+D115+D119+D46+D139+D131+D103</f>
        <v>339890.1</v>
      </c>
      <c r="E151" s="6">
        <f>D151/D150*100</f>
        <v>44.72119293671405</v>
      </c>
      <c r="F151" s="6">
        <f aca="true" t="shared" si="21" ref="F151:F162">D151/B151*100</f>
        <v>93.41194383027607</v>
      </c>
      <c r="G151" s="6">
        <f t="shared" si="18"/>
        <v>57.68950127424699</v>
      </c>
      <c r="H151" s="65">
        <f t="shared" si="19"/>
        <v>23971.400000000023</v>
      </c>
      <c r="I151" s="76">
        <f t="shared" si="20"/>
        <v>249281.3999999998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69859.5</v>
      </c>
      <c r="C152" s="65">
        <f>C11+C23+C36+C55+C62+C92+C49+C140+C109+C112+C96+C137</f>
        <v>114196.40000000001</v>
      </c>
      <c r="D152" s="65">
        <f>D11+D23+D36+D55+D62+D92+D49+D140+D109+D112+D96+D137</f>
        <v>50916.899999999994</v>
      </c>
      <c r="E152" s="6">
        <f>D152/D150*100</f>
        <v>6.6994140418899395</v>
      </c>
      <c r="F152" s="6">
        <f t="shared" si="21"/>
        <v>72.8847186137891</v>
      </c>
      <c r="G152" s="6">
        <f t="shared" si="18"/>
        <v>44.58713234392677</v>
      </c>
      <c r="H152" s="65">
        <f t="shared" si="19"/>
        <v>18942.600000000006</v>
      </c>
      <c r="I152" s="76">
        <f t="shared" si="20"/>
        <v>63279.500000000015</v>
      </c>
      <c r="K152" s="43"/>
      <c r="L152" s="98"/>
    </row>
    <row r="153" spans="1:12" ht="18.75">
      <c r="A153" s="20" t="s">
        <v>1</v>
      </c>
      <c r="B153" s="64">
        <f>B22+B10+B54+B48+B61+B35+B123</f>
        <v>20895.499999999996</v>
      </c>
      <c r="C153" s="64">
        <f>C22+C10+C54+C48+C61+C35+C123</f>
        <v>31721.800000000003</v>
      </c>
      <c r="D153" s="64">
        <f>D22+D10+D54+D48+D61+D35+D123</f>
        <v>16624.300000000003</v>
      </c>
      <c r="E153" s="6">
        <f>D153/D150*100</f>
        <v>2.187349757282768</v>
      </c>
      <c r="F153" s="6">
        <f t="shared" si="21"/>
        <v>79.55923524203779</v>
      </c>
      <c r="G153" s="6">
        <f t="shared" si="18"/>
        <v>52.406546917261956</v>
      </c>
      <c r="H153" s="65">
        <f t="shared" si="19"/>
        <v>4271.199999999993</v>
      </c>
      <c r="I153" s="76">
        <f t="shared" si="20"/>
        <v>15097.5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18039.3</v>
      </c>
      <c r="C154" s="64">
        <f>C12+C24+C104+C63+C38+C93+C129+C56</f>
        <v>29347.1</v>
      </c>
      <c r="D154" s="64">
        <f>D12+D24+D104+D63+D38+D93+D129+D56</f>
        <v>12361.2</v>
      </c>
      <c r="E154" s="6">
        <f>D154/D150*100</f>
        <v>1.6264304554010538</v>
      </c>
      <c r="F154" s="6">
        <f t="shared" si="21"/>
        <v>68.5237232043372</v>
      </c>
      <c r="G154" s="6">
        <f t="shared" si="18"/>
        <v>42.12068654142999</v>
      </c>
      <c r="H154" s="65">
        <f t="shared" si="19"/>
        <v>5678.0999999999985</v>
      </c>
      <c r="I154" s="76">
        <f t="shared" si="20"/>
        <v>16985.899999999998</v>
      </c>
      <c r="K154" s="43"/>
      <c r="L154" s="98"/>
    </row>
    <row r="155" spans="1:12" ht="18.75">
      <c r="A155" s="20" t="s">
        <v>2</v>
      </c>
      <c r="B155" s="64">
        <f>B9+B21+B47+B53+B122</f>
        <v>14908.099999999999</v>
      </c>
      <c r="C155" s="64">
        <f>C9+C21+C47+C53+C122</f>
        <v>21243.1</v>
      </c>
      <c r="D155" s="64">
        <f>D9+D21+D47+D53+D122</f>
        <v>11658.2</v>
      </c>
      <c r="E155" s="6">
        <f>D155/D150*100</f>
        <v>1.5339329138883415</v>
      </c>
      <c r="F155" s="6">
        <f t="shared" si="21"/>
        <v>78.20044137079843</v>
      </c>
      <c r="G155" s="6">
        <f t="shared" si="18"/>
        <v>54.87993748558356</v>
      </c>
      <c r="H155" s="65">
        <f t="shared" si="19"/>
        <v>3249.899999999998</v>
      </c>
      <c r="I155" s="76">
        <f t="shared" si="20"/>
        <v>9584.899999999998</v>
      </c>
      <c r="K155" s="43"/>
      <c r="L155" s="44"/>
    </row>
    <row r="156" spans="1:12" ht="19.5" thickBot="1">
      <c r="A156" s="20" t="s">
        <v>34</v>
      </c>
      <c r="B156" s="64">
        <f>B150-B151-B152-B153-B154-B155</f>
        <v>395859.60000000003</v>
      </c>
      <c r="C156" s="64">
        <f>C150-C151-C152-C153-C154-C155</f>
        <v>610031.0000000003</v>
      </c>
      <c r="D156" s="64">
        <f>D150-D151-D152-D153-D154-D155</f>
        <v>328569.49999999994</v>
      </c>
      <c r="E156" s="6">
        <f>D156/D150*100</f>
        <v>43.23167989482384</v>
      </c>
      <c r="F156" s="6">
        <f t="shared" si="21"/>
        <v>83.00152377256985</v>
      </c>
      <c r="G156" s="40">
        <f t="shared" si="18"/>
        <v>53.861115254798484</v>
      </c>
      <c r="H156" s="65">
        <f t="shared" si="19"/>
        <v>67290.1000000001</v>
      </c>
      <c r="I156" s="65">
        <f t="shared" si="20"/>
        <v>281461.5000000004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22970.4-100+550+29.9+110</f>
        <v>23560.300000000003</v>
      </c>
      <c r="C158" s="70">
        <f>35718.9-832.3</f>
        <v>34886.6</v>
      </c>
      <c r="D158" s="70">
        <f>33+3.1+31.8+118.6+8.5+18.3+41+591.6+0.1+448.4+20+14.4+41.3+31.5+458.7+42.9+92.6+54.3+185.1+276.9+138.9+420.8+189.7+128.4+1374+1199.8+948.5+463.6</f>
        <v>7375.800000000001</v>
      </c>
      <c r="E158" s="14"/>
      <c r="F158" s="6">
        <f t="shared" si="21"/>
        <v>31.306052978951882</v>
      </c>
      <c r="G158" s="6">
        <f aca="true" t="shared" si="22" ref="G158:G167">D158/C158*100</f>
        <v>21.142215062516843</v>
      </c>
      <c r="H158" s="65">
        <f>B158-D158</f>
        <v>16184.500000000002</v>
      </c>
      <c r="I158" s="65">
        <f aca="true" t="shared" si="23" ref="I158:I167">C158-D158</f>
        <v>27510.799999999996</v>
      </c>
      <c r="K158" s="43"/>
      <c r="L158" s="43"/>
    </row>
    <row r="159" spans="1:12" ht="18.75">
      <c r="A159" s="20" t="s">
        <v>22</v>
      </c>
      <c r="B159" s="85">
        <v>25703.8</v>
      </c>
      <c r="C159" s="64">
        <f>51080.5+400</f>
        <v>51480.5</v>
      </c>
      <c r="D159" s="64">
        <f>100+49.9+293.6+174.2+159.5+52+404.4+89.3+150+694.7+650+637.7+888.1+1549.4+1150.4+28.8+73+685+233.1+79.4+200+254.7+419.8+99.5+57.1+1.6+2862.1+4096.9+63.4</f>
        <v>16197.6</v>
      </c>
      <c r="E159" s="6"/>
      <c r="F159" s="6">
        <f t="shared" si="21"/>
        <v>63.01636333927279</v>
      </c>
      <c r="G159" s="6">
        <f t="shared" si="22"/>
        <v>31.46356387369975</v>
      </c>
      <c r="H159" s="65">
        <f aca="true" t="shared" si="24" ref="H159:H166">B159-D159</f>
        <v>9506.199999999999</v>
      </c>
      <c r="I159" s="65">
        <f t="shared" si="23"/>
        <v>35282.9</v>
      </c>
      <c r="K159" s="43"/>
      <c r="L159" s="43"/>
    </row>
    <row r="160" spans="1:12" ht="18.75">
      <c r="A160" s="20" t="s">
        <v>58</v>
      </c>
      <c r="B160" s="85">
        <f>187976.7-550-29.9-110</f>
        <v>187286.80000000002</v>
      </c>
      <c r="C160" s="64">
        <f>332753.4-60000+332.5</f>
        <v>273085.9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</f>
        <v>108470.70000000003</v>
      </c>
      <c r="E160" s="6"/>
      <c r="F160" s="6">
        <f t="shared" si="21"/>
        <v>57.91689537116338</v>
      </c>
      <c r="G160" s="6">
        <f t="shared" si="22"/>
        <v>39.72035905185878</v>
      </c>
      <c r="H160" s="65">
        <f t="shared" si="24"/>
        <v>78816.09999999999</v>
      </c>
      <c r="I160" s="65">
        <f t="shared" si="23"/>
        <v>164615.2</v>
      </c>
      <c r="K160" s="43"/>
      <c r="L160" s="43"/>
    </row>
    <row r="161" spans="1:12" ht="37.5" hidden="1">
      <c r="A161" s="20" t="s">
        <v>67</v>
      </c>
      <c r="B161" s="85"/>
      <c r="C161" s="64"/>
      <c r="D161" s="64"/>
      <c r="E161" s="6"/>
      <c r="F161" s="6" t="e">
        <f t="shared" si="21"/>
        <v>#DIV/0!</v>
      </c>
      <c r="G161" s="6" t="e">
        <f t="shared" si="22"/>
        <v>#DIV/0!</v>
      </c>
      <c r="H161" s="65">
        <f t="shared" si="24"/>
        <v>0</v>
      </c>
      <c r="I161" s="65">
        <f t="shared" si="23"/>
        <v>0</v>
      </c>
      <c r="K161" s="43"/>
      <c r="L161" s="43"/>
    </row>
    <row r="162" spans="1:12" ht="18.75">
      <c r="A162" s="20" t="s">
        <v>13</v>
      </c>
      <c r="B162" s="85">
        <f>9458.4-150</f>
        <v>9308.4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</f>
        <v>5126.5999999999985</v>
      </c>
      <c r="E162" s="17"/>
      <c r="F162" s="6">
        <f t="shared" si="21"/>
        <v>55.07498603411971</v>
      </c>
      <c r="G162" s="6">
        <f t="shared" si="22"/>
        <v>37.46939431812367</v>
      </c>
      <c r="H162" s="65">
        <f t="shared" si="24"/>
        <v>4181.800000000001</v>
      </c>
      <c r="I162" s="65">
        <f t="shared" si="23"/>
        <v>8555.500000000002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1170.7</v>
      </c>
      <c r="C164" s="64">
        <v>2118.3</v>
      </c>
      <c r="D164" s="64">
        <f>394.4+14+15.3</f>
        <v>423.7</v>
      </c>
      <c r="E164" s="17"/>
      <c r="F164" s="6">
        <f>D164/B164*100</f>
        <v>36.1920218672589</v>
      </c>
      <c r="G164" s="6">
        <f t="shared" si="22"/>
        <v>20.001888306661</v>
      </c>
      <c r="H164" s="65">
        <f t="shared" si="24"/>
        <v>747</v>
      </c>
      <c r="I164" s="65">
        <f t="shared" si="23"/>
        <v>1694.6000000000001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1130453.5</v>
      </c>
      <c r="C167" s="87">
        <f>C150+C158+C162+C163+C159+C166+C165+C160+C164+C161</f>
        <v>1770964.3000000005</v>
      </c>
      <c r="D167" s="87">
        <f>D150+D158+D162+D163+D159+D166+D165+D160+D164+D161</f>
        <v>897614.6</v>
      </c>
      <c r="E167" s="22"/>
      <c r="F167" s="3">
        <f>D167/B167*100</f>
        <v>79.40305373020651</v>
      </c>
      <c r="G167" s="3">
        <f t="shared" si="22"/>
        <v>50.68507592163206</v>
      </c>
      <c r="H167" s="51">
        <f>B167-D167</f>
        <v>232838.90000000002</v>
      </c>
      <c r="I167" s="51">
        <f t="shared" si="23"/>
        <v>873349.7000000005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7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760020.2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1395710.9000000001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760020.2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2016-06-30T11:54:53Z</cp:lastPrinted>
  <dcterms:created xsi:type="dcterms:W3CDTF">2000-06-20T04:48:00Z</dcterms:created>
  <dcterms:modified xsi:type="dcterms:W3CDTF">2016-07-19T05:10:41Z</dcterms:modified>
  <cp:category/>
  <cp:version/>
  <cp:contentType/>
  <cp:contentStatus/>
</cp:coreProperties>
</file>